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\Downloads\"/>
    </mc:Choice>
  </mc:AlternateContent>
  <xr:revisionPtr revIDLastSave="0" documentId="13_ncr:1_{4E4B86F2-AAD7-4933-8F00-A16B8DBB73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 de inspección" sheetId="2" r:id="rId1"/>
    <sheet name="Resultados" sheetId="3" r:id="rId2"/>
    <sheet name="Lista desplegable" sheetId="4" state="hidden" r:id="rId3"/>
  </sheets>
  <definedNames>
    <definedName name="Calificacion">'Lista desplegable'!$A$9:$A$12</definedName>
    <definedName name="Excel_BuiltIn__FilterDatabase_1">#REF!</definedName>
    <definedName name="Potencial">'Lista desplegable'!$A$5:$A$7</definedName>
    <definedName name="Seguimiento">'Lista desplegable'!$A$1:$A$3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2" l="1"/>
  <c r="C12" i="3" s="1"/>
  <c r="G61" i="2"/>
  <c r="F61" i="2"/>
  <c r="E61" i="2"/>
  <c r="E11" i="2"/>
  <c r="E59" i="2" l="1"/>
  <c r="E60" i="2"/>
  <c r="E62" i="2"/>
  <c r="E58" i="2"/>
  <c r="E50" i="2"/>
  <c r="E51" i="2"/>
  <c r="E52" i="2"/>
  <c r="E53" i="2"/>
  <c r="E54" i="2"/>
  <c r="E55" i="2"/>
  <c r="E49" i="2"/>
  <c r="E40" i="2"/>
  <c r="E41" i="2"/>
  <c r="E42" i="2"/>
  <c r="E43" i="2"/>
  <c r="E44" i="2"/>
  <c r="E45" i="2"/>
  <c r="E46" i="2"/>
  <c r="E39" i="2"/>
  <c r="E26" i="2"/>
  <c r="E27" i="2"/>
  <c r="E28" i="2"/>
  <c r="E29" i="2"/>
  <c r="E30" i="2"/>
  <c r="E31" i="2"/>
  <c r="E32" i="2"/>
  <c r="E33" i="2"/>
  <c r="E34" i="2"/>
  <c r="E35" i="2"/>
  <c r="E36" i="2"/>
  <c r="E25" i="2"/>
  <c r="E19" i="2"/>
  <c r="E20" i="2"/>
  <c r="E21" i="2"/>
  <c r="E22" i="2"/>
  <c r="E18" i="2"/>
  <c r="E12" i="2"/>
  <c r="E13" i="2"/>
  <c r="E14" i="2"/>
  <c r="E15" i="2"/>
  <c r="D56" i="2"/>
  <c r="C11" i="3" s="1"/>
  <c r="G58" i="2"/>
  <c r="G59" i="2"/>
  <c r="G60" i="2"/>
  <c r="G62" i="2"/>
  <c r="G55" i="2"/>
  <c r="G54" i="2"/>
  <c r="G53" i="2"/>
  <c r="G52" i="2"/>
  <c r="G51" i="2"/>
  <c r="G50" i="2"/>
  <c r="G49" i="2"/>
  <c r="G46" i="2"/>
  <c r="G45" i="2"/>
  <c r="G44" i="2"/>
  <c r="G43" i="2"/>
  <c r="G40" i="2"/>
  <c r="G39" i="2"/>
  <c r="O39" i="2"/>
  <c r="O40" i="2"/>
  <c r="O41" i="2"/>
  <c r="O42" i="2"/>
  <c r="O43" i="2"/>
  <c r="O44" i="2"/>
  <c r="O45" i="2"/>
  <c r="O46" i="2"/>
  <c r="G41" i="2"/>
  <c r="G31" i="2"/>
  <c r="G30" i="2"/>
  <c r="G29" i="2"/>
  <c r="G27" i="2"/>
  <c r="G25" i="2"/>
  <c r="G21" i="2"/>
  <c r="G20" i="2"/>
  <c r="G19" i="2"/>
  <c r="G18" i="2"/>
  <c r="G15" i="2"/>
  <c r="G13" i="2"/>
  <c r="G11" i="2"/>
  <c r="G12" i="2"/>
  <c r="F12" i="2"/>
  <c r="F11" i="2"/>
  <c r="F43" i="2"/>
  <c r="F40" i="2"/>
  <c r="A6" i="3"/>
  <c r="O62" i="2"/>
  <c r="F62" i="2"/>
  <c r="O60" i="2"/>
  <c r="F60" i="2"/>
  <c r="O59" i="2"/>
  <c r="F59" i="2"/>
  <c r="O58" i="2"/>
  <c r="F58" i="2"/>
  <c r="O55" i="2"/>
  <c r="F55" i="2"/>
  <c r="O54" i="2"/>
  <c r="F54" i="2"/>
  <c r="O53" i="2"/>
  <c r="F53" i="2"/>
  <c r="O52" i="2"/>
  <c r="F52" i="2"/>
  <c r="O51" i="2"/>
  <c r="F51" i="2"/>
  <c r="O50" i="2"/>
  <c r="F50" i="2"/>
  <c r="O49" i="2"/>
  <c r="F49" i="2"/>
  <c r="D47" i="2"/>
  <c r="C10" i="3" s="1"/>
  <c r="F46" i="2"/>
  <c r="F45" i="2"/>
  <c r="F44" i="2"/>
  <c r="G42" i="2"/>
  <c r="F42" i="2"/>
  <c r="F41" i="2"/>
  <c r="F39" i="2"/>
  <c r="D37" i="2"/>
  <c r="C9" i="3" s="1"/>
  <c r="O36" i="2"/>
  <c r="G36" i="2"/>
  <c r="F36" i="2"/>
  <c r="O35" i="2"/>
  <c r="G35" i="2"/>
  <c r="F35" i="2"/>
  <c r="O34" i="2"/>
  <c r="G34" i="2"/>
  <c r="F34" i="2"/>
  <c r="O33" i="2"/>
  <c r="G33" i="2"/>
  <c r="F33" i="2"/>
  <c r="O32" i="2"/>
  <c r="G32" i="2"/>
  <c r="F32" i="2"/>
  <c r="O31" i="2"/>
  <c r="F31" i="2"/>
  <c r="O30" i="2"/>
  <c r="F30" i="2"/>
  <c r="O29" i="2"/>
  <c r="F29" i="2"/>
  <c r="O28" i="2"/>
  <c r="G28" i="2"/>
  <c r="F28" i="2"/>
  <c r="O27" i="2"/>
  <c r="F27" i="2"/>
  <c r="O26" i="2"/>
  <c r="G26" i="2"/>
  <c r="F26" i="2"/>
  <c r="O25" i="2"/>
  <c r="F25" i="2"/>
  <c r="D23" i="2"/>
  <c r="C8" i="3" s="1"/>
  <c r="O22" i="2"/>
  <c r="G22" i="2"/>
  <c r="F22" i="2"/>
  <c r="O21" i="2"/>
  <c r="F21" i="2"/>
  <c r="O20" i="2"/>
  <c r="F20" i="2"/>
  <c r="O19" i="2"/>
  <c r="F19" i="2"/>
  <c r="O18" i="2"/>
  <c r="F18" i="2"/>
  <c r="D16" i="2"/>
  <c r="C7" i="3" s="1"/>
  <c r="O15" i="2"/>
  <c r="F15" i="2"/>
  <c r="O14" i="2"/>
  <c r="G14" i="2"/>
  <c r="F14" i="2"/>
  <c r="O13" i="2"/>
  <c r="F13" i="2"/>
  <c r="O12" i="2"/>
  <c r="O11" i="2"/>
</calcChain>
</file>

<file path=xl/sharedStrings.xml><?xml version="1.0" encoding="utf-8"?>
<sst xmlns="http://schemas.openxmlformats.org/spreadsheetml/2006/main" count="113" uniqueCount="102">
  <si>
    <t>INSPECCION AMBIENTAL Y DE SEGURIDAD Y SST EN SEDES</t>
  </si>
  <si>
    <t>Código: E-SGI-A-F011</t>
  </si>
  <si>
    <t>Versión: 2</t>
  </si>
  <si>
    <t xml:space="preserve">SISTEMA INTEGRADO DE GESTION </t>
  </si>
  <si>
    <t>Fecha aprobación: 28/09/2021</t>
  </si>
  <si>
    <t xml:space="preserve">FECHA: </t>
  </si>
  <si>
    <t>INSPECCIONADO POR:</t>
  </si>
  <si>
    <t>NOMBRE DEL ENCARGARDO DEL ÁREA</t>
  </si>
  <si>
    <t>SEDE:</t>
  </si>
  <si>
    <t>AREA INSPECCIONADA</t>
  </si>
  <si>
    <t>CARGO DEL  ENCARGARDO DEL ÁREA</t>
  </si>
  <si>
    <t>Calificación:</t>
  </si>
  <si>
    <r>
      <t>NA: No aplica.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/ 1: No cumple. El estándar no está implementado.    /  3: Cumple parcialmente. El estándar está implementado parcialmente.    / 5: Cumple totalmente. El estándar está implementado totalmente.</t>
    </r>
  </si>
  <si>
    <t>Ítem</t>
  </si>
  <si>
    <t>N°</t>
  </si>
  <si>
    <t>PARAMETRO A EVALUAR</t>
  </si>
  <si>
    <t>CALIFICACIÓN</t>
  </si>
  <si>
    <t>ESTADO</t>
  </si>
  <si>
    <t xml:space="preserve">PRIORIZACIÓN DE INTERVENCIÓN </t>
  </si>
  <si>
    <t>PLAN DE ACCIÓN</t>
  </si>
  <si>
    <t>HALLAZGO</t>
  </si>
  <si>
    <t>EVIDENCIA FOTOGRÁFICA</t>
  </si>
  <si>
    <t>RECOMENDACIONES ESPECÍFICAS</t>
  </si>
  <si>
    <t>RESPONSABLE</t>
  </si>
  <si>
    <t>GESTIÓN DE INTERVENCIONES</t>
  </si>
  <si>
    <t>Área</t>
  </si>
  <si>
    <t>Nombre</t>
  </si>
  <si>
    <t>Fecha programada para el cierre
(dd-mm-aa)</t>
  </si>
  <si>
    <t>Fecha real de cierre
(dd-mm-aa)</t>
  </si>
  <si>
    <t>Días de atraso</t>
  </si>
  <si>
    <t>Estado de seguimiento</t>
  </si>
  <si>
    <t>Evidencia de cumplimiento
(Relacionar la ruta del archivo donde se encuentra la evidencia)</t>
  </si>
  <si>
    <t>IDENTIFICACIÓN (Comunicación del peligro)</t>
  </si>
  <si>
    <t xml:space="preserve">Se tiene un inventario de las sustancias químicas presentes en el proceso. (Ley 55 de 1993 art.10 numeral 4.) </t>
  </si>
  <si>
    <t>Se clasifican e identifican los peligros de las sustancias de acuerdo al Sistema Globalmente Armonizado - SGA. (Ley 55 de 1993, art. 7, ley 9 del 79 art 130, Recomendación 177 de la OIT, 1990 capitulo 2)</t>
  </si>
  <si>
    <t>Se cuenta con las fichas de datos de seguridad de las sustancias químicas que se utilizan en el área y el personal tiene acceso a ellas. (Ley 55 de 1993, art. 8, ley 9 del 79 art 130, Recomendación 177 de la OIT, 1990 capitulo 2, Decreto 1496 de 2018)</t>
  </si>
  <si>
    <t>Todo el trabajador involucrado en el área entiende y conoce la información del las fichas de datos de seguridad. (Ley 55 de 1993, art. 9, ley 9 del 79 art 130, Recomendación 177 de la OIT, 1990 capitulo 2, Decreto 1496 de 2018)</t>
  </si>
  <si>
    <t>Se etiquetan los productos intermedios, remanentes o transvasados de acuerdo con el SGA. (Ley 55 de 1993, art. 7 y 10, ley 9 del 79 art 130, Recomendación 177 de la OIT, 1990 capitulo 2, Decreto 1496 de 2018)</t>
  </si>
  <si>
    <t>TOTAL / PROMEDIO</t>
  </si>
  <si>
    <t>MANIPULACIÓN Y TRANSVASE</t>
  </si>
  <si>
    <t>Existen y se conocen procedimientos escritos para la utilización y preparación de las sustancias químicas. (Ley 55/93 at. 16)</t>
  </si>
  <si>
    <t>Los trabajadores cuentan con equipos de protección personal de acuerdo al peligro de las sustancias que utiliza y se evidencia la utilización de elementos de protección personal y estos se conservan en buen estado. (Ley 9 de 1979, art. 122, 123, 124. Resolución 2400/79, art. 176 al 201. Resolución 1016 de 1989, art. 11, numeral 12, 13, art. 14 numeral 5. Ley 55/93 art 13 literal f, Decreto 1973/95 art 13 literal f)</t>
  </si>
  <si>
    <t>Los trabajadores han sido capacitados en la utilización de sustancias químicas y conocen los peligros de las sustancias que manipulan en su lugar de trabajo (Ley55/93, art 18 numeral 3)</t>
  </si>
  <si>
    <t>Durante el transvase, el envase de destino no es de alimentos, esta libre de residuos, en buen estado y es compatible con la sustancia a contener. (Ley 55 de 1993, art. 7 y 10, ley 9 del 79 art 130, Recomendación 177 de la OIT, 1990 capitulo 2, Decreto 1496 de 2018)</t>
  </si>
  <si>
    <t xml:space="preserve">Se emplean bombas, embudos, mangueras o elementos que facilitan el transvase de desustancias químicas. </t>
  </si>
  <si>
    <t>ALMACENAMIENTO</t>
  </si>
  <si>
    <t>El ingreso del trabajador al área de almacenamiento es restringido y cuenta con señalización externa informativa que permite la identificación del sitio y normas restrictivas en el ingreso de elementos o personas no autorizadas. (Resolución 2003 de  2014)</t>
  </si>
  <si>
    <t>Los pisos están construidos en material impermeable, sólido, estable, antideslizante, sin obstáculos que dificulten el libre desplazamiento, se encuentran en buenas condiciones y limpios. (Ley 9/79 art. 203, 204)</t>
  </si>
  <si>
    <t>Las paredes están construidas en materiales sólidos, no presentan deterioro, su estructura no representa riesgo de accidente y se encuentran en adecuadas condiciones de aseo. (Ley 9/79 art. 1.a.parágrafo, 80, 82, 83, 84, 90, 195, 203, 204)</t>
  </si>
  <si>
    <t>El área cuenta con iluminación suficiente, en cantidad y calidad, para prevenir efectos nocivos en la salud de los trabajadores y para garantizar adecuadas condiciones de visibilidad y seguridad. (Ley 9/79 art. 105, 109, 196. Resolución 2400/79, art. 7)</t>
  </si>
  <si>
    <t>El área de almacenamiento de sustancias químicas cuenta con aireación y ventilación adecuada. (Ley 9/79, art 130. Ley 55 de 1993, art. 13)</t>
  </si>
  <si>
    <t>Las sustancias se separan según criterios de compatibilidad química y se cuenta con la matriz de almacenamiento por compatibilidad. (Ley 9/79, art 102. Resolución 1016 de 1989, art. 11, numeral 2. Recomendación 177 OIT, 1990, Capítulo 2, numeral 14)</t>
  </si>
  <si>
    <t>La(s) zona(s) de almacenamiento se encuentran señalizadas con las correspondientes señales de advertencia, obligación, prohibición e información y la clase de peligro correspondiente a la sustancia química. (Recomendación 177 OIT, 1990, Capítulo 2, numerales 10, 12)</t>
  </si>
  <si>
    <t>Los envases se encuentran cerrados herméticamente, previniendo derrames o escape de vapores. (Ley 9/79, art 130. Ley 55 de 1993, art. 7. Recomendación 177 OIT, 1990, Capítulo 2, numerales 8 y 9).</t>
  </si>
  <si>
    <t xml:space="preserve">Las sustancias químicas están ubicadas sobre estibas o estanterías, aseguradas a la pared o piso y son resistentes a sustancias químicas. Cuentan con diques de contención para en caso que se presenten derrames de productos. </t>
  </si>
  <si>
    <t>Los recipientes más pesados y /o peligrosos son ubicados en las partes bajas. Las sustancias químicas líquidas están ubicadas en los niveles más bajos de la estantería y se evita que se encuentre por encima de las sustancias químicas sólidas</t>
  </si>
  <si>
    <t>Se tiene manual o procedimiento de almacenamiento y se implementa.</t>
  </si>
  <si>
    <t>Las redes e instalaciones eléctricas están ubicadas adecuadamente y protegidas, de manera tal que se eviten riesgos para la salud, están diseñadas, construidas e instaladas de manera que se previenen riesgos por incendio, corto circuito y/o contacto con elementos sometidos a tensión. (Ley 9/79 art. 80, 83, 84, 90, 117. RETIE. NTC 4595 núm. 6.2, 6.4)</t>
  </si>
  <si>
    <t>TRANSPORTE</t>
  </si>
  <si>
    <t>El mecanismo de transporte, ayudas manuales o mecánicas, se encuentran en óptimas condiciones.</t>
  </si>
  <si>
    <t>Se cuenta con tarjetas de emergencia y la señalización de acuerdo con lo definido en el Decreto 1609 de 2002.</t>
  </si>
  <si>
    <t>La carga durante el transporte, se encuentra sobre estibas y segura contra movimientos.</t>
  </si>
  <si>
    <t xml:space="preserve">El trabajador involucrado en el transporte identifica y conoce los peligros y condiciones de seguridad para la sustancia química que va a transportar. </t>
  </si>
  <si>
    <t>El conductor del vehículo que transporta mercancías peligrosas esta capacitado y cuenta con el certificado del curso básico obligatorio de
capacitación para conductores aprobado por el ministerio de transporte (Artículo 14 Decreto 1609 de 2002)</t>
  </si>
  <si>
    <t>Se tiene conocimiento de los procedimientos que se deben seguir en caso de un derrame durante el transporte.</t>
  </si>
  <si>
    <t>El trabajador se le ha suministrado los elementos de protección necesarios acorde a la sustancia química que se va a transportar. (Ley 9 de 1979, art. 122, 123, 124. Resolución 2400/79, art. 176 al 201. Resolución 1016 de 1989, art. 11, numeral 12, 13, art. 14 numeral 5)</t>
  </si>
  <si>
    <t>El área cuenta con protocolos para el manejo de sustancias químicas, cargue / descargue de sustancias químicas. (Ley 9/79, art 130. Ley 55 de 1993, art. 8, 11, 13, 15)</t>
  </si>
  <si>
    <t>EMERGENCIAS</t>
  </si>
  <si>
    <t>Las instalaciones cuentan con sistema de alarma en caso de emergencia. (Resolución 2400/79, art. 231, 232, Resolución 1016 de 1989, art. 11, numeral 18)</t>
  </si>
  <si>
    <t>El área cuenta con elementos para la atención de derrames y está constituido por caneca plástica antichispa, cinta demarcadora, material absorbente, recogedor antichispa, listón de sellado, EPP y recipiente para disponer del residuo.  (Ley 9 de 1979, art. 103, 104, 130. Resolución 2400/79, art. 167, 217, 470, 520. Recomendación 177 OIT, 1990, Capítulo 2, numeral 10)</t>
  </si>
  <si>
    <t>El área cuenta con ducha, ducha de emergencia, ducha lavaojos y/u otros dispositivos para dar respuesta en caso de contacto con sustancias químicas, se encuentran en buen estado y se inspeccionan periódicamente. (Ley 9 de 1979, art. 103, 104. Resolución 2400/79, art. 17, 18.</t>
  </si>
  <si>
    <t xml:space="preserve">El área se encuentra dotada de elementos necesarios para controlar y combatir el fuego, red contra incendio, extintores, detectores de humo, detectores de llama, sprinkler, muros cortafuego, entre otros. Ley 9 de 1979, art. 114, 116, 205. Resolución 2400/79, art. 221, 222. </t>
  </si>
  <si>
    <t>El área cuenta con Plan de Emergencia, Planes de Contingencia, conocido y socializado a los empleados y comunidad cercana. (Ley 9 de 1979, art. 114. Resolución 1016 de 1989, art. 11, lit 18. Ley 1523 de 2012, art. 42)</t>
  </si>
  <si>
    <t>Se cuenta con rutas de evacuación y salidas de  emergencia necesarias, despejadas y señalizadas.</t>
  </si>
  <si>
    <t>El área realiza simulacros en sus instalaciones relacionados con atención de derrames. (Ley 9/79, art 234, 236; Resolución 2400/79, art. 223. Resolución 1016 de 1989, art. 11, numeral 18)</t>
  </si>
  <si>
    <t>GENERALIDADES</t>
  </si>
  <si>
    <t>El área destinada para el consumo, almacenamiento, servido y preparación de alimentos se encuentra libre de sustancias peligrosas y separadas físicamente de las demás áreas. (Ley 9 de 1979, art. 174)</t>
  </si>
  <si>
    <t>Se realiza una adecuada separación en la fuente de residuos no peligrosos (aprovechables y no aprovechables) y peligrosos. (Decreto 4741/05, Resolución 879/2007, Decreto 2981/13).</t>
  </si>
  <si>
    <t>Existe un área destinada exclusivamente para el depósito temporal de residuos peligrosos, bien ubicada, protegida, en material sanitario y en perfecto estado de mantenimiento. (Decreto 4741/05, Resolución 879/2007, Decreto 2981/13).</t>
  </si>
  <si>
    <t xml:space="preserve">El lugar de almacenamiento de residuos peligrosos cuenta con Pisos(impermeables, liso no resbaloso y libre de grietas 
Ventilación (En lo posible natural evitando riesgos de incendios),  el área se encuentra señalizada, existe dispositivo de detección de fuego y sistema de respuesta. </t>
  </si>
  <si>
    <t>Maquinaria, equipos, tanques y herramientas que se requieren para la manipulación de sustancias químicas, se encuentran en buen estado, y se cuenta con programas de mantenimiento preventivo y correctivo. (Ley 9 de 1979, art. 251)</t>
  </si>
  <si>
    <t>Responsable de área</t>
  </si>
  <si>
    <t>Responsable de inspección</t>
  </si>
  <si>
    <t>PROGRAMA DE INTERVENCIÓN Y CONTROL DEL RIESGO QUÍMICO
Lista de Chequeo para  Inspección de Almacenamiento, Transvase y Manipulación de Sustancias Químicas</t>
  </si>
  <si>
    <r>
      <rPr>
        <b/>
        <sz val="12"/>
        <color theme="1"/>
        <rFont val="Arial Narrow"/>
      </rPr>
      <t>Código:</t>
    </r>
    <r>
      <rPr>
        <sz val="12"/>
        <color theme="1"/>
        <rFont val="Arial Narrow"/>
      </rPr>
      <t xml:space="preserve"> </t>
    </r>
    <r>
      <rPr>
        <sz val="12"/>
        <color rgb="FF000000"/>
        <rFont val="Arial Narrow"/>
      </rPr>
      <t>E-SGI-A-F011</t>
    </r>
  </si>
  <si>
    <r>
      <rPr>
        <b/>
        <sz val="12"/>
        <color theme="1"/>
        <rFont val="Arial Narrow"/>
      </rPr>
      <t>Versión:</t>
    </r>
    <r>
      <rPr>
        <sz val="12"/>
        <color theme="1"/>
        <rFont val="Arial Narrow"/>
      </rPr>
      <t xml:space="preserve"> 2</t>
    </r>
  </si>
  <si>
    <r>
      <rPr>
        <b/>
        <sz val="12"/>
        <color theme="1"/>
        <rFont val="Arial Narrow"/>
      </rPr>
      <t>Fecha</t>
    </r>
    <r>
      <rPr>
        <sz val="12"/>
        <color theme="1"/>
        <rFont val="Arial Narrow"/>
      </rPr>
      <t>: 22/07/2021</t>
    </r>
  </si>
  <si>
    <t>Identificación</t>
  </si>
  <si>
    <t>Manipulación y transvase</t>
  </si>
  <si>
    <t>Almacenamiento</t>
  </si>
  <si>
    <t>Transporte interno</t>
  </si>
  <si>
    <t>Emergencias</t>
  </si>
  <si>
    <t>Generalidades</t>
  </si>
  <si>
    <t>Ejecutado</t>
  </si>
  <si>
    <t>En proceso</t>
  </si>
  <si>
    <t>Sin ejecutar</t>
  </si>
  <si>
    <t>Aceptable</t>
  </si>
  <si>
    <t>Importante</t>
  </si>
  <si>
    <t>Inaceptable</t>
  </si>
  <si>
    <t>No cumple. El estándar no está implementado.</t>
  </si>
  <si>
    <t xml:space="preserve"> Cumple parcialmente. El estándar está implementado parcialmente.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</si>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</sst>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>
    <font>
      <sz val="10"/>
      <color rgb="FF00000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u/>
      <sz val="10"/>
      <name val="Arial"/>
      <family val="2"/>
    </font>
    <font>
      <b/>
      <sz val="18"/>
      <color rgb="FFFFFFFF"/>
      <name val="Arial"/>
      <family val="2"/>
    </font>
    <font>
      <b/>
      <sz val="11"/>
      <color rgb="FFFFFFFF"/>
      <name val="Arial"/>
      <family val="2"/>
    </font>
    <font>
      <sz val="11"/>
      <color rgb="FFFFFFFF"/>
      <name val="Arial"/>
      <family val="2"/>
    </font>
    <font>
      <b/>
      <sz val="12"/>
      <color rgb="FFFFFFFF"/>
      <name val="Arial"/>
      <family val="2"/>
    </font>
    <font>
      <sz val="10"/>
      <name val="Calibri"/>
      <family val="2"/>
    </font>
    <font>
      <b/>
      <sz val="18"/>
      <name val="Arial"/>
      <family val="2"/>
    </font>
    <font>
      <b/>
      <sz val="11"/>
      <name val="Calibri"/>
      <family val="2"/>
    </font>
    <font>
      <sz val="11"/>
      <color rgb="FFFFFFFF"/>
      <name val="Calibri"/>
      <family val="2"/>
    </font>
    <font>
      <sz val="11"/>
      <name val="Calibri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3"/>
      <color rgb="FF00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2"/>
      <color theme="1"/>
      <name val="Arial Narrow"/>
    </font>
    <font>
      <b/>
      <sz val="12"/>
      <color theme="1"/>
      <name val="Arial Narrow"/>
    </font>
    <font>
      <sz val="12"/>
      <color rgb="FF000000"/>
      <name val="Arial Narrow"/>
    </font>
    <font>
      <u/>
      <sz val="10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002060"/>
        <bgColor rgb="FF002060"/>
      </patternFill>
    </fill>
    <fill>
      <patternFill patternType="solid">
        <fgColor rgb="FFDEEAF6"/>
        <bgColor rgb="FFDEEAF6"/>
      </patternFill>
    </fill>
    <fill>
      <patternFill patternType="solid">
        <fgColor rgb="FF99CC00"/>
        <bgColor rgb="FF99CC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2F5496"/>
        <bgColor rgb="FF2F5496"/>
      </patternFill>
    </fill>
    <fill>
      <patternFill patternType="solid">
        <fgColor rgb="FFFFFFFF"/>
        <bgColor rgb="FFFFFFFF"/>
      </patternFill>
    </fill>
    <fill>
      <patternFill patternType="solid">
        <fgColor rgb="FF2E75B5"/>
        <bgColor rgb="FF2E75B5"/>
      </patternFill>
    </fill>
    <fill>
      <patternFill patternType="solid">
        <fgColor rgb="FF548135"/>
        <bgColor rgb="FF548135"/>
      </patternFill>
    </fill>
    <fill>
      <patternFill patternType="solid">
        <fgColor rgb="FFC55A11"/>
        <bgColor rgb="FFC55A11"/>
      </patternFill>
    </fill>
    <fill>
      <patternFill patternType="solid">
        <fgColor rgb="FF05D3CE"/>
        <bgColor rgb="FF05D3CE"/>
      </patternFill>
    </fill>
    <fill>
      <patternFill patternType="solid">
        <fgColor rgb="FF9999FF"/>
        <bgColor rgb="FF9999FF"/>
      </patternFill>
    </fill>
    <fill>
      <patternFill patternType="solid">
        <fgColor rgb="FFFF99CC"/>
        <bgColor rgb="FFFF99CC"/>
      </patternFill>
    </fill>
    <fill>
      <patternFill patternType="solid">
        <fgColor theme="8" tint="0.79998168889431442"/>
        <bgColor rgb="FFDEEAF6"/>
      </patternFill>
    </fill>
    <fill>
      <patternFill patternType="solid">
        <fgColor theme="8" tint="0.79998168889431442"/>
        <bgColor rgb="FFB4C6E7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F4B083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rgb="FFB4C6E7"/>
      </patternFill>
    </fill>
    <fill>
      <patternFill patternType="solid">
        <fgColor theme="4" tint="0.79998168889431442"/>
        <bgColor rgb="FFD9E2F3"/>
      </patternFill>
    </fill>
    <fill>
      <patternFill patternType="solid">
        <fgColor theme="4" tint="0.79998168889431442"/>
        <bgColor rgb="FFDEEAF6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5"/>
  </cellStyleXfs>
  <cellXfs count="177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vertical="center"/>
    </xf>
    <xf numFmtId="0" fontId="2" fillId="9" borderId="5" xfId="0" applyFont="1" applyFill="1" applyBorder="1" applyAlignment="1">
      <alignment horizontal="center" vertical="center"/>
    </xf>
    <xf numFmtId="164" fontId="7" fillId="10" borderId="11" xfId="0" applyNumberFormat="1" applyFont="1" applyFill="1" applyBorder="1" applyAlignment="1">
      <alignment vertical="center" wrapText="1"/>
    </xf>
    <xf numFmtId="0" fontId="5" fillId="8" borderId="4" xfId="0" applyFont="1" applyFill="1" applyBorder="1" applyAlignment="1">
      <alignment horizontal="center" vertical="center" textRotation="90"/>
    </xf>
    <xf numFmtId="0" fontId="2" fillId="4" borderId="15" xfId="0" applyFont="1" applyFill="1" applyBorder="1" applyAlignment="1">
      <alignment horizontal="center" vertical="center"/>
    </xf>
    <xf numFmtId="0" fontId="5" fillId="10" borderId="4" xfId="0" applyFont="1" applyFill="1" applyBorder="1" applyAlignment="1">
      <alignment vertical="center" textRotation="90" wrapText="1"/>
    </xf>
    <xf numFmtId="0" fontId="9" fillId="0" borderId="0" xfId="0" applyFont="1" applyAlignment="1">
      <alignment vertical="center"/>
    </xf>
    <xf numFmtId="0" fontId="7" fillId="10" borderId="7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2" borderId="4" xfId="0" applyFont="1" applyFill="1" applyBorder="1" applyAlignment="1">
      <alignment vertical="center"/>
    </xf>
    <xf numFmtId="0" fontId="11" fillId="2" borderId="4" xfId="0" applyFont="1" applyFill="1" applyBorder="1" applyAlignment="1">
      <alignment horizontal="center" vertical="center" wrapText="1"/>
    </xf>
    <xf numFmtId="164" fontId="12" fillId="3" borderId="4" xfId="0" applyNumberFormat="1" applyFont="1" applyFill="1" applyBorder="1" applyAlignment="1">
      <alignment horizontal="center" vertical="center"/>
    </xf>
    <xf numFmtId="164" fontId="12" fillId="11" borderId="4" xfId="0" applyNumberFormat="1" applyFont="1" applyFill="1" applyBorder="1" applyAlignment="1">
      <alignment horizontal="center" vertical="center"/>
    </xf>
    <xf numFmtId="164" fontId="13" fillId="12" borderId="4" xfId="0" applyNumberFormat="1" applyFont="1" applyFill="1" applyBorder="1" applyAlignment="1">
      <alignment horizontal="center" vertical="center"/>
    </xf>
    <xf numFmtId="164" fontId="12" fillId="13" borderId="4" xfId="0" applyNumberFormat="1" applyFont="1" applyFill="1" applyBorder="1" applyAlignment="1">
      <alignment horizontal="center" vertical="center"/>
    </xf>
    <xf numFmtId="164" fontId="12" fillId="14" borderId="4" xfId="0" applyNumberFormat="1" applyFont="1" applyFill="1" applyBorder="1" applyAlignment="1">
      <alignment horizontal="center" vertical="center"/>
    </xf>
    <xf numFmtId="164" fontId="12" fillId="15" borderId="4" xfId="0" applyNumberFormat="1" applyFont="1" applyFill="1" applyBorder="1" applyAlignment="1">
      <alignment horizontal="center" vertical="center"/>
    </xf>
    <xf numFmtId="0" fontId="7" fillId="10" borderId="16" xfId="0" applyFont="1" applyFill="1" applyBorder="1" applyAlignment="1">
      <alignment horizontal="center" vertical="center"/>
    </xf>
    <xf numFmtId="0" fontId="7" fillId="10" borderId="13" xfId="0" applyFont="1" applyFill="1" applyBorder="1" applyAlignment="1">
      <alignment horizontal="center"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0" fillId="0" borderId="20" xfId="0" applyBorder="1"/>
    <xf numFmtId="0" fontId="0" fillId="0" borderId="21" xfId="0" applyBorder="1"/>
    <xf numFmtId="0" fontId="9" fillId="0" borderId="22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0" fillId="0" borderId="5" xfId="0" applyBorder="1"/>
    <xf numFmtId="0" fontId="0" fillId="0" borderId="23" xfId="0" applyBorder="1"/>
    <xf numFmtId="0" fontId="11" fillId="2" borderId="24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vertical="center"/>
    </xf>
    <xf numFmtId="0" fontId="12" fillId="11" borderId="24" xfId="0" applyFont="1" applyFill="1" applyBorder="1" applyAlignment="1">
      <alignment vertical="center"/>
    </xf>
    <xf numFmtId="0" fontId="13" fillId="12" borderId="24" xfId="0" applyFont="1" applyFill="1" applyBorder="1" applyAlignment="1">
      <alignment vertical="center"/>
    </xf>
    <xf numFmtId="0" fontId="12" fillId="13" borderId="24" xfId="0" applyFont="1" applyFill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2" fillId="14" borderId="24" xfId="0" applyFont="1" applyFill="1" applyBorder="1" applyAlignment="1">
      <alignment vertical="center"/>
    </xf>
    <xf numFmtId="0" fontId="12" fillId="15" borderId="24" xfId="0" applyFont="1" applyFill="1" applyBorder="1" applyAlignment="1">
      <alignment vertical="center"/>
    </xf>
    <xf numFmtId="164" fontId="9" fillId="0" borderId="5" xfId="0" applyNumberFormat="1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0" fillId="0" borderId="26" xfId="0" applyBorder="1"/>
    <xf numFmtId="0" fontId="0" fillId="0" borderId="27" xfId="0" applyBorder="1"/>
    <xf numFmtId="0" fontId="2" fillId="16" borderId="4" xfId="0" applyFont="1" applyFill="1" applyBorder="1" applyAlignment="1">
      <alignment horizontal="center" vertical="center"/>
    </xf>
    <xf numFmtId="0" fontId="1" fillId="16" borderId="4" xfId="0" applyFont="1" applyFill="1" applyBorder="1" applyAlignment="1">
      <alignment horizontal="center" vertical="center" wrapText="1"/>
    </xf>
    <xf numFmtId="0" fontId="2" fillId="16" borderId="4" xfId="0" applyFont="1" applyFill="1" applyBorder="1" applyAlignment="1">
      <alignment horizontal="center" vertical="center" wrapText="1"/>
    </xf>
    <xf numFmtId="0" fontId="2" fillId="16" borderId="15" xfId="0" applyFont="1" applyFill="1" applyBorder="1" applyAlignment="1">
      <alignment horizontal="center" vertical="center"/>
    </xf>
    <xf numFmtId="0" fontId="1" fillId="16" borderId="1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4" fillId="0" borderId="20" xfId="0" applyFont="1" applyBorder="1" applyAlignment="1">
      <alignment vertical="top" wrapText="1"/>
    </xf>
    <xf numFmtId="0" fontId="14" fillId="0" borderId="5" xfId="0" applyFont="1" applyBorder="1" applyAlignment="1">
      <alignment vertical="top" wrapText="1"/>
    </xf>
    <xf numFmtId="0" fontId="2" fillId="21" borderId="4" xfId="0" applyFont="1" applyFill="1" applyBorder="1" applyAlignment="1">
      <alignment horizontal="center" vertical="center"/>
    </xf>
    <xf numFmtId="0" fontId="1" fillId="21" borderId="4" xfId="0" applyFont="1" applyFill="1" applyBorder="1" applyAlignment="1">
      <alignment horizontal="center" vertical="center" wrapText="1"/>
    </xf>
    <xf numFmtId="0" fontId="2" fillId="21" borderId="15" xfId="0" applyFont="1" applyFill="1" applyBorder="1" applyAlignment="1">
      <alignment horizontal="center" vertical="center"/>
    </xf>
    <xf numFmtId="0" fontId="1" fillId="21" borderId="4" xfId="0" applyFont="1" applyFill="1" applyBorder="1" applyAlignment="1">
      <alignment horizontal="left" vertical="center" wrapText="1"/>
    </xf>
    <xf numFmtId="0" fontId="2" fillId="22" borderId="4" xfId="0" applyFont="1" applyFill="1" applyBorder="1" applyAlignment="1">
      <alignment horizontal="center" vertical="center"/>
    </xf>
    <xf numFmtId="0" fontId="1" fillId="22" borderId="4" xfId="0" applyFont="1" applyFill="1" applyBorder="1" applyAlignment="1">
      <alignment horizontal="center" vertical="center" wrapText="1"/>
    </xf>
    <xf numFmtId="0" fontId="1" fillId="22" borderId="4" xfId="0" applyFont="1" applyFill="1" applyBorder="1" applyAlignment="1">
      <alignment horizontal="left" vertical="center" wrapText="1"/>
    </xf>
    <xf numFmtId="0" fontId="1" fillId="22" borderId="11" xfId="0" applyFont="1" applyFill="1" applyBorder="1" applyAlignment="1">
      <alignment horizontal="center" vertical="center" wrapText="1"/>
    </xf>
    <xf numFmtId="0" fontId="2" fillId="23" borderId="4" xfId="0" applyFont="1" applyFill="1" applyBorder="1" applyAlignment="1">
      <alignment horizontal="center" vertical="center"/>
    </xf>
    <xf numFmtId="0" fontId="1" fillId="23" borderId="4" xfId="0" applyFont="1" applyFill="1" applyBorder="1" applyAlignment="1">
      <alignment horizontal="center" vertical="center" wrapText="1"/>
    </xf>
    <xf numFmtId="0" fontId="2" fillId="23" borderId="4" xfId="0" applyFont="1" applyFill="1" applyBorder="1" applyAlignment="1">
      <alignment horizontal="center" vertical="center" wrapText="1"/>
    </xf>
    <xf numFmtId="0" fontId="1" fillId="23" borderId="4" xfId="0" applyFont="1" applyFill="1" applyBorder="1" applyAlignment="1">
      <alignment horizontal="left" vertical="center" wrapText="1"/>
    </xf>
    <xf numFmtId="0" fontId="2" fillId="23" borderId="4" xfId="0" applyFont="1" applyFill="1" applyBorder="1" applyAlignment="1">
      <alignment horizontal="center" vertical="center" textRotation="255" wrapText="1"/>
    </xf>
    <xf numFmtId="164" fontId="1" fillId="23" borderId="4" xfId="0" applyNumberFormat="1" applyFont="1" applyFill="1" applyBorder="1" applyAlignment="1">
      <alignment horizontal="center" vertical="center" wrapText="1"/>
    </xf>
    <xf numFmtId="49" fontId="17" fillId="19" borderId="15" xfId="0" applyNumberFormat="1" applyFont="1" applyFill="1" applyBorder="1" applyAlignment="1">
      <alignment horizontal="left" vertical="center"/>
    </xf>
    <xf numFmtId="49" fontId="17" fillId="19" borderId="4" xfId="0" applyNumberFormat="1" applyFont="1" applyFill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5" fillId="10" borderId="14" xfId="0" applyFont="1" applyFill="1" applyBorder="1" applyAlignment="1">
      <alignment horizontal="center" vertical="center" textRotation="90"/>
    </xf>
    <xf numFmtId="0" fontId="5" fillId="10" borderId="14" xfId="0" applyFont="1" applyFill="1" applyBorder="1" applyAlignment="1">
      <alignment horizontal="center" vertical="center" textRotation="90"/>
    </xf>
    <xf numFmtId="0" fontId="5" fillId="8" borderId="14" xfId="0" applyFont="1" applyFill="1" applyBorder="1" applyAlignment="1">
      <alignment horizontal="center" vertical="center" textRotation="90" wrapText="1"/>
    </xf>
    <xf numFmtId="0" fontId="6" fillId="8" borderId="12" xfId="0" applyFont="1" applyFill="1" applyBorder="1" applyAlignment="1">
      <alignment horizontal="center" vertical="center" textRotation="255" wrapText="1"/>
    </xf>
    <xf numFmtId="0" fontId="5" fillId="10" borderId="3" xfId="0" applyFont="1" applyFill="1" applyBorder="1" applyAlignment="1">
      <alignment horizontal="left" vertical="center" wrapText="1"/>
    </xf>
    <xf numFmtId="164" fontId="6" fillId="8" borderId="12" xfId="0" applyNumberFormat="1" applyFont="1" applyFill="1" applyBorder="1" applyAlignment="1">
      <alignment horizontal="center" vertical="center" wrapText="1"/>
    </xf>
    <xf numFmtId="164" fontId="6" fillId="10" borderId="12" xfId="0" applyNumberFormat="1" applyFont="1" applyFill="1" applyBorder="1" applyAlignment="1">
      <alignment horizontal="center" vertical="center" wrapText="1"/>
    </xf>
    <xf numFmtId="0" fontId="6" fillId="10" borderId="3" xfId="0" applyFont="1" applyFill="1" applyBorder="1" applyAlignment="1">
      <alignment horizontal="center" vertical="center" textRotation="255" wrapText="1"/>
    </xf>
    <xf numFmtId="0" fontId="5" fillId="10" borderId="3" xfId="0" applyFont="1" applyFill="1" applyBorder="1" applyAlignment="1">
      <alignment horizontal="left" vertical="center" textRotation="255" wrapText="1"/>
    </xf>
    <xf numFmtId="49" fontId="17" fillId="19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17" fillId="19" borderId="28" xfId="0" applyNumberFormat="1" applyFont="1" applyFill="1" applyBorder="1" applyAlignment="1">
      <alignment horizontal="center" vertical="center"/>
    </xf>
    <xf numFmtId="49" fontId="17" fillId="19" borderId="29" xfId="0" applyNumberFormat="1" applyFont="1" applyFill="1" applyBorder="1" applyAlignment="1">
      <alignment horizontal="center" vertical="center"/>
    </xf>
    <xf numFmtId="49" fontId="17" fillId="19" borderId="17" xfId="0" applyNumberFormat="1" applyFont="1" applyFill="1" applyBorder="1" applyAlignment="1">
      <alignment horizontal="center" vertical="center"/>
    </xf>
    <xf numFmtId="49" fontId="17" fillId="19" borderId="18" xfId="0" applyNumberFormat="1" applyFont="1" applyFill="1" applyBorder="1" applyAlignment="1">
      <alignment horizontal="center" vertical="center"/>
    </xf>
    <xf numFmtId="49" fontId="17" fillId="19" borderId="3" xfId="0" applyNumberFormat="1" applyFont="1" applyFill="1" applyBorder="1" applyAlignment="1">
      <alignment horizontal="center" vertical="center"/>
    </xf>
    <xf numFmtId="0" fontId="16" fillId="18" borderId="34" xfId="1" applyFont="1" applyFill="1" applyBorder="1" applyAlignment="1">
      <alignment horizontal="left" vertical="center"/>
    </xf>
    <xf numFmtId="0" fontId="0" fillId="0" borderId="34" xfId="0" applyBorder="1" applyAlignment="1">
      <alignment horizontal="center"/>
    </xf>
    <xf numFmtId="0" fontId="10" fillId="0" borderId="34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 wrapText="1"/>
    </xf>
    <xf numFmtId="164" fontId="8" fillId="8" borderId="3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textRotation="255" wrapText="1"/>
    </xf>
    <xf numFmtId="0" fontId="6" fillId="10" borderId="12" xfId="0" applyFont="1" applyFill="1" applyBorder="1" applyAlignment="1">
      <alignment horizontal="center" vertical="center" textRotation="255" wrapText="1"/>
    </xf>
    <xf numFmtId="0" fontId="5" fillId="8" borderId="3" xfId="0" applyFont="1" applyFill="1" applyBorder="1" applyAlignment="1">
      <alignment horizontal="left" vertical="center" textRotation="255" wrapText="1"/>
    </xf>
    <xf numFmtId="164" fontId="6" fillId="10" borderId="3" xfId="0" applyNumberFormat="1" applyFont="1" applyFill="1" applyBorder="1" applyAlignment="1">
      <alignment horizontal="center" vertical="center" wrapText="1"/>
    </xf>
    <xf numFmtId="164" fontId="7" fillId="10" borderId="3" xfId="0" applyNumberFormat="1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textRotation="255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19" fillId="0" borderId="32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19" fillId="9" borderId="32" xfId="0" applyFont="1" applyFill="1" applyBorder="1" applyAlignment="1">
      <alignment horizontal="left" vertical="center" wrapText="1"/>
    </xf>
    <xf numFmtId="0" fontId="19" fillId="9" borderId="7" xfId="0" applyFont="1" applyFill="1" applyBorder="1" applyAlignment="1">
      <alignment horizontal="left" vertical="center" wrapText="1"/>
    </xf>
    <xf numFmtId="0" fontId="19" fillId="9" borderId="17" xfId="0" applyFont="1" applyFill="1" applyBorder="1" applyAlignment="1">
      <alignment horizontal="left" vertical="center" wrapText="1"/>
    </xf>
    <xf numFmtId="0" fontId="19" fillId="9" borderId="3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8" fillId="20" borderId="6" xfId="0" applyFont="1" applyFill="1" applyBorder="1" applyAlignment="1"/>
    <xf numFmtId="1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/>
    <xf numFmtId="49" fontId="2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/>
    <xf numFmtId="0" fontId="1" fillId="0" borderId="9" xfId="0" applyFont="1" applyBorder="1" applyAlignment="1"/>
    <xf numFmtId="0" fontId="18" fillId="20" borderId="8" xfId="0" applyFont="1" applyFill="1" applyBorder="1" applyAlignment="1"/>
    <xf numFmtId="49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/>
    <xf numFmtId="0" fontId="2" fillId="0" borderId="7" xfId="0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/>
    </xf>
    <xf numFmtId="0" fontId="1" fillId="0" borderId="16" xfId="0" applyFont="1" applyBorder="1" applyAlignment="1"/>
    <xf numFmtId="0" fontId="1" fillId="0" borderId="13" xfId="0" applyFont="1" applyBorder="1" applyAlignment="1"/>
    <xf numFmtId="0" fontId="1" fillId="0" borderId="8" xfId="0" applyFont="1" applyBorder="1" applyAlignment="1"/>
    <xf numFmtId="0" fontId="1" fillId="0" borderId="3" xfId="0" applyFont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15" xfId="0" applyFont="1" applyBorder="1" applyAlignment="1"/>
    <xf numFmtId="0" fontId="3" fillId="3" borderId="13" xfId="0" applyFont="1" applyFill="1" applyBorder="1" applyAlignment="1">
      <alignment vertical="center"/>
    </xf>
    <xf numFmtId="0" fontId="5" fillId="3" borderId="9" xfId="0" applyFont="1" applyFill="1" applyBorder="1" applyAlignment="1">
      <alignment horizontal="center" vertical="center" textRotation="90"/>
    </xf>
    <xf numFmtId="0" fontId="1" fillId="23" borderId="4" xfId="0" applyFont="1" applyFill="1" applyBorder="1" applyAlignment="1">
      <alignment horizontal="center" vertical="center"/>
    </xf>
    <xf numFmtId="14" fontId="1" fillId="23" borderId="4" xfId="0" applyNumberFormat="1" applyFont="1" applyFill="1" applyBorder="1" applyAlignment="1">
      <alignment horizontal="center" vertical="center"/>
    </xf>
    <xf numFmtId="0" fontId="1" fillId="23" borderId="4" xfId="0" applyFont="1" applyFill="1" applyBorder="1" applyAlignment="1">
      <alignment horizontal="justify" vertical="center" wrapText="1"/>
    </xf>
    <xf numFmtId="0" fontId="5" fillId="8" borderId="11" xfId="0" applyFont="1" applyFill="1" applyBorder="1" applyAlignment="1">
      <alignment horizontal="center" vertical="center" textRotation="90"/>
    </xf>
    <xf numFmtId="0" fontId="1" fillId="0" borderId="14" xfId="0" applyFont="1" applyBorder="1" applyAlignment="1"/>
    <xf numFmtId="0" fontId="1" fillId="8" borderId="7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5" fillId="10" borderId="12" xfId="0" applyFont="1" applyFill="1" applyBorder="1" applyAlignment="1">
      <alignment horizontal="center" vertical="center" textRotation="90"/>
    </xf>
    <xf numFmtId="164" fontId="1" fillId="22" borderId="4" xfId="0" applyNumberFormat="1" applyFont="1" applyFill="1" applyBorder="1" applyAlignment="1">
      <alignment horizontal="center" vertical="center" wrapText="1"/>
    </xf>
    <xf numFmtId="0" fontId="1" fillId="22" borderId="4" xfId="0" applyFont="1" applyFill="1" applyBorder="1" applyAlignment="1">
      <alignment horizontal="center" vertical="center"/>
    </xf>
    <xf numFmtId="14" fontId="1" fillId="22" borderId="4" xfId="0" applyNumberFormat="1" applyFont="1" applyFill="1" applyBorder="1" applyAlignment="1">
      <alignment horizontal="center" vertical="center"/>
    </xf>
    <xf numFmtId="0" fontId="1" fillId="0" borderId="10" xfId="0" applyFont="1" applyBorder="1" applyAlignment="1"/>
    <xf numFmtId="0" fontId="1" fillId="22" borderId="11" xfId="0" applyFont="1" applyFill="1" applyBorder="1" applyAlignment="1">
      <alignment horizontal="left" vertical="center" wrapText="1"/>
    </xf>
    <xf numFmtId="164" fontId="1" fillId="16" borderId="15" xfId="0" applyNumberFormat="1" applyFont="1" applyFill="1" applyBorder="1" applyAlignment="1">
      <alignment horizontal="center" vertical="center" wrapText="1"/>
    </xf>
    <xf numFmtId="0" fontId="1" fillId="16" borderId="15" xfId="0" applyFont="1" applyFill="1" applyBorder="1" applyAlignment="1">
      <alignment horizontal="center" vertical="center"/>
    </xf>
    <xf numFmtId="14" fontId="1" fillId="16" borderId="15" xfId="0" applyNumberFormat="1" applyFont="1" applyFill="1" applyBorder="1" applyAlignment="1">
      <alignment horizontal="center" vertical="center"/>
    </xf>
    <xf numFmtId="0" fontId="1" fillId="17" borderId="15" xfId="0" applyFont="1" applyFill="1" applyBorder="1" applyAlignment="1">
      <alignment horizontal="center" vertical="center"/>
    </xf>
    <xf numFmtId="0" fontId="1" fillId="16" borderId="4" xfId="0" applyFont="1" applyFill="1" applyBorder="1" applyAlignment="1">
      <alignment horizontal="center" vertical="center"/>
    </xf>
    <xf numFmtId="14" fontId="1" fillId="16" borderId="4" xfId="0" applyNumberFormat="1" applyFont="1" applyFill="1" applyBorder="1" applyAlignment="1">
      <alignment horizontal="center" vertical="center"/>
    </xf>
    <xf numFmtId="0" fontId="1" fillId="8" borderId="16" xfId="0" applyFont="1" applyFill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/>
    </xf>
    <xf numFmtId="0" fontId="1" fillId="21" borderId="15" xfId="0" applyFont="1" applyFill="1" applyBorder="1" applyAlignment="1">
      <alignment horizontal="center" vertical="center" wrapText="1"/>
    </xf>
    <xf numFmtId="164" fontId="1" fillId="21" borderId="15" xfId="0" applyNumberFormat="1" applyFont="1" applyFill="1" applyBorder="1" applyAlignment="1">
      <alignment horizontal="center" vertical="center" wrapText="1"/>
    </xf>
    <xf numFmtId="0" fontId="1" fillId="21" borderId="15" xfId="0" applyFont="1" applyFill="1" applyBorder="1" applyAlignment="1">
      <alignment horizontal="center" vertical="center"/>
    </xf>
    <xf numFmtId="14" fontId="1" fillId="21" borderId="15" xfId="0" applyNumberFormat="1" applyFont="1" applyFill="1" applyBorder="1" applyAlignment="1">
      <alignment horizontal="center" vertical="center"/>
    </xf>
    <xf numFmtId="0" fontId="1" fillId="21" borderId="4" xfId="0" applyFont="1" applyFill="1" applyBorder="1" applyAlignment="1">
      <alignment horizontal="center" vertical="center"/>
    </xf>
    <xf numFmtId="14" fontId="1" fillId="21" borderId="4" xfId="0" applyNumberFormat="1" applyFont="1" applyFill="1" applyBorder="1" applyAlignment="1">
      <alignment horizontal="center" vertical="center"/>
    </xf>
    <xf numFmtId="0" fontId="10" fillId="10" borderId="14" xfId="0" applyFont="1" applyFill="1" applyBorder="1" applyAlignment="1">
      <alignment horizontal="center" vertical="center" textRotation="90"/>
    </xf>
    <xf numFmtId="164" fontId="1" fillId="21" borderId="4" xfId="0" applyNumberFormat="1" applyFont="1" applyFill="1" applyBorder="1" applyAlignment="1">
      <alignment horizontal="center" vertical="center" wrapText="1"/>
    </xf>
    <xf numFmtId="0" fontId="5" fillId="10" borderId="11" xfId="0" applyFont="1" applyFill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5" borderId="5" xfId="0" applyFont="1" applyFill="1" applyBorder="1"/>
    <xf numFmtId="0" fontId="1" fillId="6" borderId="5" xfId="0" applyFont="1" applyFill="1" applyBorder="1"/>
    <xf numFmtId="0" fontId="1" fillId="7" borderId="5" xfId="0" applyFont="1" applyFill="1" applyBorder="1"/>
    <xf numFmtId="164" fontId="1" fillId="0" borderId="0" xfId="0" applyNumberFormat="1" applyFont="1" applyAlignment="1">
      <alignment horizontal="right"/>
    </xf>
  </cellXfs>
  <cellStyles count="2">
    <cellStyle name="Normal" xfId="0" builtinId="0"/>
    <cellStyle name="Normal 2 4" xfId="1" xr:uid="{00000000-0005-0000-0000-000001000000}"/>
  </cellStyles>
  <dxfs count="51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595959"/>
                </a:solidFill>
                <a:latin typeface="Calibri"/>
              </a:defRPr>
            </a:pPr>
            <a:r>
              <a:rPr lang="es-CO"/>
              <a:t>Cumplimiento de estándares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914764251590855"/>
          <c:y val="0.18452736318407961"/>
          <c:w val="0.70084631507392514"/>
          <c:h val="0.70005836956947542"/>
        </c:manualLayout>
      </c:layout>
      <c:bar3DChart>
        <c:barDir val="bar"/>
        <c:grouping val="clustered"/>
        <c:varyColors val="1"/>
        <c:ser>
          <c:idx val="0"/>
          <c:order val="0"/>
          <c:spPr>
            <a:solidFill>
              <a:srgbClr val="5B9BD5"/>
            </a:solidFill>
          </c:spPr>
          <c:invertIfNegative val="1"/>
          <c:cat>
            <c:strRef>
              <c:f>Resultados!$A$7:$A$12</c:f>
              <c:strCache>
                <c:ptCount val="6"/>
                <c:pt idx="0">
                  <c:v>Identificación</c:v>
                </c:pt>
                <c:pt idx="1">
                  <c:v>Manipulación y transvase</c:v>
                </c:pt>
                <c:pt idx="2">
                  <c:v>Almacenamiento</c:v>
                </c:pt>
                <c:pt idx="3">
                  <c:v>Transporte interno</c:v>
                </c:pt>
                <c:pt idx="4">
                  <c:v>Emergencias</c:v>
                </c:pt>
                <c:pt idx="5">
                  <c:v>Generalidades</c:v>
                </c:pt>
              </c:strCache>
            </c:strRef>
          </c:cat>
          <c:val>
            <c:numRef>
              <c:f>Resultados!$B$7:$B$12</c:f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2263-4C5A-8A47-3085AC39CD83}"/>
            </c:ext>
          </c:extLst>
        </c:ser>
        <c:ser>
          <c:idx val="1"/>
          <c:order val="1"/>
          <c:spPr>
            <a:solidFill>
              <a:srgbClr val="DC3912"/>
            </a:solidFill>
          </c:spPr>
          <c:invertIfNegative val="1"/>
          <c:cat>
            <c:strRef>
              <c:f>Resultados!$A$7:$A$12</c:f>
              <c:strCache>
                <c:ptCount val="6"/>
                <c:pt idx="0">
                  <c:v>Identificación</c:v>
                </c:pt>
                <c:pt idx="1">
                  <c:v>Manipulación y transvase</c:v>
                </c:pt>
                <c:pt idx="2">
                  <c:v>Almacenamiento</c:v>
                </c:pt>
                <c:pt idx="3">
                  <c:v>Transporte interno</c:v>
                </c:pt>
                <c:pt idx="4">
                  <c:v>Emergencias</c:v>
                </c:pt>
                <c:pt idx="5">
                  <c:v>Generalidades</c:v>
                </c:pt>
              </c:strCache>
            </c:strRef>
          </c:cat>
          <c:val>
            <c:numRef>
              <c:f>Resultados!$C$7:$C$12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2263-4C5A-8A47-3085AC39C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3204144"/>
        <c:axId val="393204536"/>
        <c:axId val="0"/>
      </c:bar3DChart>
      <c:catAx>
        <c:axId val="393204144"/>
        <c:scaling>
          <c:orientation val="maxMin"/>
        </c:scaling>
        <c:delete val="0"/>
        <c:axPos val="l"/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595959"/>
                </a:solidFill>
                <a:latin typeface="Calibri"/>
              </a:defRPr>
            </a:pPr>
            <a:endParaRPr lang="en-US"/>
          </a:p>
        </c:txPr>
        <c:crossAx val="393204536"/>
        <c:crosses val="autoZero"/>
        <c:auto val="1"/>
        <c:lblAlgn val="ctr"/>
        <c:lblOffset val="100"/>
        <c:noMultiLvlLbl val="1"/>
      </c:catAx>
      <c:valAx>
        <c:axId val="393204536"/>
        <c:scaling>
          <c:orientation val="minMax"/>
        </c:scaling>
        <c:delete val="0"/>
        <c:axPos val="b"/>
        <c:majorGridlines>
          <c:spPr>
            <a:ln>
              <a:solidFill>
                <a:srgbClr val="D9D9D9"/>
              </a:solidFill>
            </a:ln>
          </c:spPr>
        </c:majorGridlines>
        <c:numFmt formatCode="0.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595959"/>
                </a:solidFill>
                <a:latin typeface="Calibri"/>
              </a:defRPr>
            </a:pPr>
            <a:endParaRPr lang="en-US"/>
          </a:p>
        </c:txPr>
        <c:crossAx val="393204144"/>
        <c:crosses val="max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595959"/>
                </a:solidFill>
                <a:latin typeface="Calibri"/>
              </a:defRPr>
            </a:pPr>
            <a:r>
              <a:rPr lang="es-CO"/>
              <a:t>Cumplimiento de estándares</a:t>
            </a:r>
          </a:p>
        </c:rich>
      </c:tx>
      <c:overlay val="0"/>
    </c:title>
    <c:autoTitleDeleted val="0"/>
    <c:plotArea>
      <c:layout/>
      <c:radarChart>
        <c:radarStyle val="marker"/>
        <c:varyColors val="1"/>
        <c:ser>
          <c:idx val="0"/>
          <c:order val="0"/>
          <c:spPr>
            <a:ln w="19050" cmpd="sng">
              <a:solidFill>
                <a:srgbClr val="5B9BD5"/>
              </a:solidFill>
              <a:prstDash val="solid"/>
            </a:ln>
          </c:spPr>
          <c:marker>
            <c:symbol val="none"/>
          </c:marker>
          <c:cat>
            <c:strRef>
              <c:f>Resultados!$A$7:$A$12</c:f>
              <c:strCache>
                <c:ptCount val="6"/>
                <c:pt idx="0">
                  <c:v>Identificación</c:v>
                </c:pt>
                <c:pt idx="1">
                  <c:v>Manipulación y transvase</c:v>
                </c:pt>
                <c:pt idx="2">
                  <c:v>Almacenamiento</c:v>
                </c:pt>
                <c:pt idx="3">
                  <c:v>Transporte interno</c:v>
                </c:pt>
                <c:pt idx="4">
                  <c:v>Emergencias</c:v>
                </c:pt>
                <c:pt idx="5">
                  <c:v>Generalidades</c:v>
                </c:pt>
              </c:strCache>
            </c:strRef>
          </c:cat>
          <c:val>
            <c:numRef>
              <c:f>Resultados!$B$7:$B$12</c:f>
            </c:numRef>
          </c:val>
          <c:extLst>
            <c:ext xmlns:c16="http://schemas.microsoft.com/office/drawing/2014/chart" uri="{C3380CC4-5D6E-409C-BE32-E72D297353CC}">
              <c16:uniqueId val="{00000000-7929-4C63-8F10-8E0BBB8E8728}"/>
            </c:ext>
          </c:extLst>
        </c:ser>
        <c:ser>
          <c:idx val="1"/>
          <c:order val="1"/>
          <c:spPr>
            <a:ln w="19050" cmpd="sng">
              <a:solidFill>
                <a:srgbClr val="DC3912"/>
              </a:solidFill>
              <a:prstDash val="solid"/>
            </a:ln>
          </c:spPr>
          <c:marker>
            <c:symbol val="none"/>
          </c:marker>
          <c:cat>
            <c:strRef>
              <c:f>Resultados!$A$7:$A$12</c:f>
              <c:strCache>
                <c:ptCount val="6"/>
                <c:pt idx="0">
                  <c:v>Identificación</c:v>
                </c:pt>
                <c:pt idx="1">
                  <c:v>Manipulación y transvase</c:v>
                </c:pt>
                <c:pt idx="2">
                  <c:v>Almacenamiento</c:v>
                </c:pt>
                <c:pt idx="3">
                  <c:v>Transporte interno</c:v>
                </c:pt>
                <c:pt idx="4">
                  <c:v>Emergencias</c:v>
                </c:pt>
                <c:pt idx="5">
                  <c:v>Generalidades</c:v>
                </c:pt>
              </c:strCache>
            </c:strRef>
          </c:cat>
          <c:val>
            <c:numRef>
              <c:f>Resultados!$C$7:$C$12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29-4C63-8F10-8E0BBB8E8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3205320"/>
        <c:axId val="393206104"/>
      </c:radarChart>
      <c:catAx>
        <c:axId val="3932053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595959"/>
                </a:solidFill>
                <a:latin typeface="Calibri"/>
              </a:defRPr>
            </a:pPr>
            <a:endParaRPr lang="en-US"/>
          </a:p>
        </c:txPr>
        <c:crossAx val="393206104"/>
        <c:crosses val="autoZero"/>
        <c:auto val="1"/>
        <c:lblAlgn val="ctr"/>
        <c:lblOffset val="100"/>
        <c:noMultiLvlLbl val="1"/>
      </c:catAx>
      <c:valAx>
        <c:axId val="393206104"/>
        <c:scaling>
          <c:orientation val="minMax"/>
        </c:scaling>
        <c:delete val="0"/>
        <c:axPos val="l"/>
        <c:majorGridlines>
          <c:spPr>
            <a:ln>
              <a:solidFill>
                <a:srgbClr val="D9D9D9"/>
              </a:solidFill>
            </a:ln>
          </c:spPr>
        </c:majorGridlines>
        <c:numFmt formatCode="0.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595959"/>
                </a:solidFill>
                <a:latin typeface="Calibri"/>
              </a:defRPr>
            </a:pPr>
            <a:endParaRPr lang="en-US"/>
          </a:p>
        </c:txPr>
        <c:crossAx val="393205320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222250</xdr:colOff>
      <xdr:row>0</xdr:row>
      <xdr:rowOff>142876</xdr:rowOff>
    </xdr:from>
    <xdr:ext cx="2032000" cy="698500"/>
    <xdr:pic>
      <xdr:nvPicPr>
        <xdr:cNvPr id="4" name="image1.png" title="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2250" y="142876"/>
          <a:ext cx="2032000" cy="6985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35455</xdr:colOff>
      <xdr:row>4</xdr:row>
      <xdr:rowOff>185737</xdr:rowOff>
    </xdr:from>
    <xdr:ext cx="5295900" cy="25527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3</xdr:col>
      <xdr:colOff>80698</xdr:colOff>
      <xdr:row>4</xdr:row>
      <xdr:rowOff>209286</xdr:rowOff>
    </xdr:from>
    <xdr:ext cx="4536281" cy="25527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0</xdr:col>
      <xdr:colOff>243416</xdr:colOff>
      <xdr:row>0</xdr:row>
      <xdr:rowOff>84667</xdr:rowOff>
    </xdr:from>
    <xdr:ext cx="2032000" cy="698500"/>
    <xdr:pic>
      <xdr:nvPicPr>
        <xdr:cNvPr id="6" name="image1.png" title="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43416" y="84667"/>
          <a:ext cx="2032000" cy="6985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78"/>
  <sheetViews>
    <sheetView showGridLines="0" tabSelected="1" topLeftCell="K1" zoomScale="80" zoomScaleNormal="80" workbookViewId="0">
      <selection activeCell="P3" sqref="P3:Q3"/>
    </sheetView>
  </sheetViews>
  <sheetFormatPr defaultColWidth="14.42578125" defaultRowHeight="15" customHeight="1" outlineLevelRow="1"/>
  <cols>
    <col min="1" max="1" width="18.85546875" customWidth="1"/>
    <col min="2" max="2" width="18.5703125" customWidth="1"/>
    <col min="3" max="3" width="61.5703125" customWidth="1"/>
    <col min="4" max="4" width="18.140625" customWidth="1"/>
    <col min="5" max="5" width="15.85546875" customWidth="1"/>
    <col min="6" max="6" width="26.7109375" customWidth="1"/>
    <col min="7" max="7" width="48.7109375" customWidth="1"/>
    <col min="8" max="8" width="52.7109375" customWidth="1"/>
    <col min="9" max="9" width="59.42578125" customWidth="1"/>
    <col min="10" max="10" width="63.42578125" customWidth="1"/>
    <col min="11" max="12" width="24.7109375" customWidth="1"/>
    <col min="13" max="13" width="24.28515625" customWidth="1"/>
    <col min="14" max="14" width="21.42578125" customWidth="1"/>
    <col min="15" max="15" width="20.28515625" customWidth="1"/>
    <col min="16" max="16" width="22.85546875" customWidth="1"/>
    <col min="17" max="17" width="37.7109375" customWidth="1"/>
    <col min="18" max="18" width="11.42578125" customWidth="1"/>
    <col min="19" max="27" width="12.5703125" customWidth="1"/>
  </cols>
  <sheetData>
    <row r="1" spans="1:18" ht="25.5" customHeight="1">
      <c r="A1" s="90"/>
      <c r="B1" s="90"/>
      <c r="C1" s="91" t="s">
        <v>0</v>
      </c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89" t="s">
        <v>1</v>
      </c>
      <c r="Q1" s="89"/>
      <c r="R1" s="117"/>
    </row>
    <row r="2" spans="1:18" ht="25.5" customHeight="1">
      <c r="A2" s="90"/>
      <c r="B2" s="90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89" t="s">
        <v>2</v>
      </c>
      <c r="Q2" s="89"/>
      <c r="R2" s="117"/>
    </row>
    <row r="3" spans="1:18" ht="25.5" customHeight="1">
      <c r="A3" s="90"/>
      <c r="B3" s="90"/>
      <c r="C3" s="93" t="s">
        <v>3</v>
      </c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89" t="s">
        <v>4</v>
      </c>
      <c r="Q3" s="89"/>
      <c r="R3" s="117"/>
    </row>
    <row r="4" spans="1:18" ht="25.5" customHeight="1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117"/>
    </row>
    <row r="5" spans="1:18" ht="35.25" customHeight="1">
      <c r="A5" s="82" t="s">
        <v>5</v>
      </c>
      <c r="B5" s="118"/>
      <c r="C5" s="119"/>
      <c r="D5" s="120"/>
      <c r="E5" s="120"/>
      <c r="F5" s="70" t="s">
        <v>6</v>
      </c>
      <c r="G5" s="83"/>
      <c r="H5" s="120"/>
      <c r="I5" s="84" t="s">
        <v>7</v>
      </c>
      <c r="J5" s="85"/>
      <c r="K5" s="121"/>
      <c r="L5" s="122"/>
      <c r="M5" s="122"/>
      <c r="N5" s="122"/>
      <c r="O5" s="122"/>
      <c r="P5" s="122"/>
      <c r="Q5" s="123"/>
      <c r="R5" s="117"/>
    </row>
    <row r="6" spans="1:18" ht="35.25" customHeight="1">
      <c r="A6" s="88" t="s">
        <v>8</v>
      </c>
      <c r="B6" s="124"/>
      <c r="C6" s="125"/>
      <c r="D6" s="126"/>
      <c r="E6" s="126"/>
      <c r="F6" s="71" t="s">
        <v>9</v>
      </c>
      <c r="G6" s="127"/>
      <c r="H6" s="126"/>
      <c r="I6" s="86" t="s">
        <v>10</v>
      </c>
      <c r="J6" s="87"/>
      <c r="K6" s="128"/>
      <c r="L6" s="129"/>
      <c r="M6" s="129"/>
      <c r="N6" s="129"/>
      <c r="O6" s="129"/>
      <c r="P6" s="129"/>
      <c r="Q6" s="130"/>
      <c r="R6" s="117"/>
    </row>
    <row r="7" spans="1:18" ht="35.25" customHeight="1">
      <c r="A7" s="94" t="s">
        <v>11</v>
      </c>
      <c r="B7" s="131"/>
      <c r="C7" s="132" t="s">
        <v>12</v>
      </c>
      <c r="D7" s="126"/>
      <c r="E7" s="126"/>
      <c r="F7" s="126"/>
      <c r="G7" s="126"/>
      <c r="H7" s="126"/>
      <c r="I7" s="120"/>
      <c r="J7" s="120"/>
      <c r="K7" s="126"/>
      <c r="L7" s="126"/>
      <c r="M7" s="126"/>
      <c r="N7" s="126"/>
      <c r="O7" s="126"/>
      <c r="P7" s="126"/>
      <c r="Q7" s="131"/>
      <c r="R7" s="117"/>
    </row>
    <row r="8" spans="1:18" ht="12.75">
      <c r="A8" s="133" t="s">
        <v>13</v>
      </c>
      <c r="B8" s="133" t="s">
        <v>14</v>
      </c>
      <c r="C8" s="134" t="s">
        <v>15</v>
      </c>
      <c r="D8" s="135" t="s">
        <v>16</v>
      </c>
      <c r="E8" s="135" t="s">
        <v>17</v>
      </c>
      <c r="F8" s="135" t="s">
        <v>18</v>
      </c>
      <c r="G8" s="136" t="s">
        <v>19</v>
      </c>
      <c r="H8" s="135" t="s">
        <v>20</v>
      </c>
      <c r="I8" s="135" t="s">
        <v>21</v>
      </c>
      <c r="J8" s="135" t="s">
        <v>22</v>
      </c>
      <c r="K8" s="98" t="s">
        <v>23</v>
      </c>
      <c r="L8" s="131"/>
      <c r="M8" s="137" t="s">
        <v>24</v>
      </c>
      <c r="N8" s="126"/>
      <c r="O8" s="126"/>
      <c r="P8" s="126"/>
      <c r="Q8" s="131"/>
      <c r="R8" s="1"/>
    </row>
    <row r="9" spans="1:18" ht="38.25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2" t="s">
        <v>25</v>
      </c>
      <c r="L9" s="2" t="s">
        <v>26</v>
      </c>
      <c r="M9" s="2" t="s">
        <v>27</v>
      </c>
      <c r="N9" s="2" t="s">
        <v>28</v>
      </c>
      <c r="O9" s="2" t="s">
        <v>29</v>
      </c>
      <c r="P9" s="2" t="s">
        <v>30</v>
      </c>
      <c r="Q9" s="2" t="s">
        <v>31</v>
      </c>
      <c r="R9" s="1"/>
    </row>
    <row r="10" spans="1:18" ht="26.25" customHeight="1">
      <c r="A10" s="139"/>
      <c r="B10" s="97" t="s">
        <v>32</v>
      </c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31"/>
      <c r="R10" s="1"/>
    </row>
    <row r="11" spans="1:18" ht="89.25" customHeight="1" outlineLevel="1">
      <c r="A11" s="140" t="s">
        <v>32</v>
      </c>
      <c r="B11" s="64">
        <v>1</v>
      </c>
      <c r="C11" s="65" t="s">
        <v>33</v>
      </c>
      <c r="D11" s="69"/>
      <c r="E11" s="69" t="str">
        <f>IF(D11="NA","No aplica",IF(D11=1,"Inaceptable",IF(D11=3,"Importante","Aceptable")))</f>
        <v>Aceptable</v>
      </c>
      <c r="F11" s="65" t="str">
        <f>IF(AND($D11&gt;=3,$D11&lt;=4),"Se presenta oportunidad de mejora.",IF(AND($D11&gt;4,$D11&lt;=5),"Continuar con el proceso de manera integral.",IF(AND($D11&gt;0,$D11&lt;3),"Intervenir inmediatamente, el estándar no ha sido apropiado por el área.","No aplica.")))</f>
        <v>No aplica.</v>
      </c>
      <c r="G11" s="65" t="str">
        <f>IF(AND(D11&gt;0,D11&lt;4),"Definir el inventario de sustancias químicas por área de trabajo.",IF(AND(D11&gt;4,D11&lt;=5),"Se observan tendencias positivas y sostenidas de mejoramiento de todos los datos a lo largo del tiempo.","No aplica"))</f>
        <v>No aplica</v>
      </c>
      <c r="H11" s="67"/>
      <c r="I11" s="65"/>
      <c r="J11" s="67"/>
      <c r="K11" s="65"/>
      <c r="L11" s="141"/>
      <c r="M11" s="142"/>
      <c r="N11" s="142"/>
      <c r="O11" s="141">
        <f t="shared" ref="O11:O15" si="0">N11-M11</f>
        <v>0</v>
      </c>
      <c r="P11" s="141"/>
      <c r="Q11" s="64"/>
      <c r="R11" s="1"/>
    </row>
    <row r="12" spans="1:18" ht="89.25" customHeight="1" outlineLevel="1">
      <c r="A12" s="123"/>
      <c r="B12" s="68">
        <v>2</v>
      </c>
      <c r="C12" s="65" t="s">
        <v>34</v>
      </c>
      <c r="D12" s="69"/>
      <c r="E12" s="69" t="str">
        <f t="shared" ref="E12:E15" si="1">IF(D12="NA","No aplica",IF(D12=1,"Inaceptable",IF(D12=3,"Importante","Aceptable")))</f>
        <v>Aceptable</v>
      </c>
      <c r="F12" s="65" t="str">
        <f>IF(AND($D12&gt;=3,$D12&lt;=4),"Se presenta oportunidad de mejora.",IF(AND($D12&gt;4,$D12&lt;=5),"Continuar con el proceso de manera integral.",IF(AND($D12&gt;0,$D12&lt;3),"Intervenir inmediatamente, el estándar no ha sido apropiado por el área.","No aplica.")))</f>
        <v>No aplica.</v>
      </c>
      <c r="G12" s="65" t="str">
        <f>IF(AND(D12&gt;0,D12&lt;4),"El lineamiento para el etiquetado es el Sistema Globalmente Armonizado -SGA para la clasificación y etiquetado de sustancias químicas.",IF(AND(D12&gt;4,D12&lt;=5),"Se observan tendencias positivas y sostenidas de mejoramiento de todos los datos a lo largo del tiempo.","No aplica"))</f>
        <v>No aplica</v>
      </c>
      <c r="H12" s="67"/>
      <c r="I12" s="65"/>
      <c r="J12" s="67"/>
      <c r="K12" s="65"/>
      <c r="L12" s="141"/>
      <c r="M12" s="142"/>
      <c r="N12" s="142"/>
      <c r="O12" s="141">
        <f t="shared" si="0"/>
        <v>0</v>
      </c>
      <c r="P12" s="141"/>
      <c r="Q12" s="64"/>
      <c r="R12" s="1"/>
    </row>
    <row r="13" spans="1:18" ht="89.25" customHeight="1" outlineLevel="1">
      <c r="A13" s="123"/>
      <c r="B13" s="68">
        <v>3</v>
      </c>
      <c r="C13" s="65" t="s">
        <v>35</v>
      </c>
      <c r="D13" s="69"/>
      <c r="E13" s="69" t="str">
        <f t="shared" si="1"/>
        <v>Aceptable</v>
      </c>
      <c r="F13" s="65" t="str">
        <f>IF(AND($D13&gt;=3,D$13&lt;=4),"Se presenta oportunidad de mejora.",IF(AND($D13&gt;4,$D13&lt;=5),"Continuar con el proceso de manera integral.",IF(AND($D13&gt;0,$D13&lt;3),"Intervenir inmediatamente, el estándar no ha sido apropiado por el área.","No aplica.")))</f>
        <v>No aplica.</v>
      </c>
      <c r="G13" s="65" t="str">
        <f>IF(AND(D13&gt;0,D13&lt;4),"Las fichas de datos de seguridad deben estar publicadas y actualizadas de acuerdo con la normatividad aplicable.",IF(AND(D13&gt;4,D13&lt;=5),"Se observan tendencias positivas y sostenidas de mejoramiento de todos los datos a lo largo del tiempo.","No aplica"))</f>
        <v>No aplica</v>
      </c>
      <c r="H13" s="67"/>
      <c r="I13" s="65"/>
      <c r="J13" s="67"/>
      <c r="K13" s="65"/>
      <c r="L13" s="141"/>
      <c r="M13" s="142"/>
      <c r="N13" s="142"/>
      <c r="O13" s="141">
        <f t="shared" si="0"/>
        <v>0</v>
      </c>
      <c r="P13" s="141"/>
      <c r="Q13" s="64"/>
      <c r="R13" s="1"/>
    </row>
    <row r="14" spans="1:18" ht="89.25" customHeight="1" outlineLevel="1">
      <c r="A14" s="123"/>
      <c r="B14" s="64">
        <v>4</v>
      </c>
      <c r="C14" s="65" t="s">
        <v>36</v>
      </c>
      <c r="D14" s="69"/>
      <c r="E14" s="69" t="str">
        <f t="shared" si="1"/>
        <v>Aceptable</v>
      </c>
      <c r="F14" s="65" t="str">
        <f t="shared" ref="F14:F15" si="2">IF(AND($D14&gt;=3,$D14&lt;=4),"Se presenta oportunidad de mejora.",IF(AND($D14&gt;4,$D14&lt;=5),"Continuar con el proceso de manera integral.",IF(AND($D14&gt;0,$D14&lt;3),"Intervenir inmediatamente, el estándar no ha sido apropiado por el área.","No aplica.")))</f>
        <v>No aplica.</v>
      </c>
      <c r="G14" s="65" t="str">
        <f>IF(AND(D14&gt;0,D14&lt;4),"Por medio de capacitaciones  y adaptación laboral dar a conocer y comprender el contenido de la ficha de datos de seguridad.",IF(AND(D14&gt;4,D14&lt;=5),"Se observan tendencias positivas y sostenidas de mejoramiento de todos los datos a lo largo del tiempo.","No aplica"))</f>
        <v>No aplica</v>
      </c>
      <c r="H14" s="67"/>
      <c r="I14" s="65"/>
      <c r="J14" s="67"/>
      <c r="K14" s="65"/>
      <c r="L14" s="141"/>
      <c r="M14" s="142"/>
      <c r="N14" s="142"/>
      <c r="O14" s="141">
        <f t="shared" si="0"/>
        <v>0</v>
      </c>
      <c r="P14" s="141"/>
      <c r="Q14" s="64"/>
      <c r="R14" s="1"/>
    </row>
    <row r="15" spans="1:18" ht="89.25" customHeight="1" outlineLevel="1">
      <c r="A15" s="123"/>
      <c r="B15" s="68">
        <v>5</v>
      </c>
      <c r="C15" s="65" t="s">
        <v>37</v>
      </c>
      <c r="D15" s="69"/>
      <c r="E15" s="69" t="str">
        <f t="shared" si="1"/>
        <v>Aceptable</v>
      </c>
      <c r="F15" s="65" t="str">
        <f t="shared" si="2"/>
        <v>No aplica.</v>
      </c>
      <c r="G15" s="65" t="str">
        <f>IF(AND(D15&gt;0,D15&lt;4),"Identificar por medio de etiquetado bajo SGA el contenido y peligrosidad de las sustancias químicas en todo el ciclo de vida.",IF(AND(D15&gt;4,D15&lt;=5),"Se observan tendencias positivas y sostenidas de mejoramiento de todos los datos a lo largo del tiempo.","No aplica"))</f>
        <v>No aplica</v>
      </c>
      <c r="H15" s="67"/>
      <c r="I15" s="65"/>
      <c r="J15" s="143"/>
      <c r="K15" s="65"/>
      <c r="L15" s="141"/>
      <c r="M15" s="142"/>
      <c r="N15" s="142"/>
      <c r="O15" s="141">
        <f t="shared" si="0"/>
        <v>0</v>
      </c>
      <c r="P15" s="141"/>
      <c r="Q15" s="64"/>
      <c r="R15" s="1"/>
    </row>
    <row r="16" spans="1:18" ht="18" customHeight="1" outlineLevel="1">
      <c r="A16" s="4"/>
      <c r="B16" s="99" t="s">
        <v>38</v>
      </c>
      <c r="C16" s="131"/>
      <c r="D16" s="95" t="e">
        <f>AVERAGE(D11:D15)</f>
        <v>#DIV/0!</v>
      </c>
      <c r="E16" s="126"/>
      <c r="F16" s="131"/>
      <c r="G16" s="5"/>
      <c r="H16" s="5"/>
      <c r="I16" s="5"/>
      <c r="J16" s="5"/>
      <c r="K16" s="5"/>
      <c r="L16" s="5"/>
      <c r="M16" s="5"/>
      <c r="N16" s="5"/>
      <c r="O16" s="5"/>
      <c r="P16" s="5"/>
      <c r="Q16" s="6"/>
      <c r="R16" s="1"/>
    </row>
    <row r="17" spans="1:18" ht="27" customHeight="1">
      <c r="A17" s="7"/>
      <c r="B17" s="101" t="s">
        <v>39</v>
      </c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31"/>
      <c r="R17" s="1"/>
    </row>
    <row r="18" spans="1:18" ht="90" customHeight="1" outlineLevel="1">
      <c r="A18" s="144"/>
      <c r="B18" s="64">
        <v>6</v>
      </c>
      <c r="C18" s="65" t="s">
        <v>40</v>
      </c>
      <c r="D18" s="69"/>
      <c r="E18" s="69" t="str">
        <f>IF(D18="NA","No aplica",IF(D18=1,"Inaceptable",IF(D18=3,"Importante","Aceptable")))</f>
        <v>Aceptable</v>
      </c>
      <c r="F18" s="65" t="str">
        <f t="shared" ref="F18:F22" si="3">IF(AND($D18&gt;=3,$D18&lt;=4),"Se presenta oportunidad de mejora.",IF(AND($D18&gt;4,$D18&lt;=5),"Continuar con el proceso de manera integral.",IF(AND($D18&gt;0,$D18&lt;3),"Intervenir inmediatamente, el estándar no ha sido apropiado por el área.","No aplica.")))</f>
        <v>No aplica.</v>
      </c>
      <c r="G18" s="65" t="str">
        <f>IF(AND(D18&gt;0,D18&lt;4),"Documentar o dar a conocer los procedimientos para que la utilización de las sustancias químicas sea de manera segura.",IF(AND(D18&gt;4,D18&lt;=5),"Se observan tendencias positivas y sostenidas de mejoramiento de todos los datos a lo largo del tiempo.","No aplica."))</f>
        <v>No aplica.</v>
      </c>
      <c r="H18" s="65"/>
      <c r="I18" s="65"/>
      <c r="J18" s="67"/>
      <c r="K18" s="65"/>
      <c r="L18" s="141"/>
      <c r="M18" s="142"/>
      <c r="N18" s="142"/>
      <c r="O18" s="141">
        <f t="shared" ref="O18:O22" si="4">N18-M18</f>
        <v>0</v>
      </c>
      <c r="P18" s="141"/>
      <c r="Q18" s="64"/>
      <c r="R18" s="1"/>
    </row>
    <row r="19" spans="1:18" ht="101.25" customHeight="1" outlineLevel="1">
      <c r="A19" s="145"/>
      <c r="B19" s="64">
        <v>7</v>
      </c>
      <c r="C19" s="65" t="s">
        <v>41</v>
      </c>
      <c r="D19" s="69"/>
      <c r="E19" s="69" t="str">
        <f t="shared" ref="E19:E22" si="5">IF(D19="NA","No aplica",IF(D19=1,"Inaceptable",IF(D19=3,"Importante","Aceptable")))</f>
        <v>Aceptable</v>
      </c>
      <c r="F19" s="65" t="str">
        <f t="shared" si="3"/>
        <v>No aplica.</v>
      </c>
      <c r="G19" s="65" t="str">
        <f>IF(AND(D19&gt;0,D19&lt;4),"Asegurarse de que sus trabajadores no se encuentren expuestos a sustancias químicas por encima de los límites de exposición y el control del medio ambiente de trabajo establecidos por la ACGIH.",IF(AND(D19&gt;4,D19&lt;=5),"Se observan tendencias positivas y sostenidas de mejoramiento de todos los datos a lo largo del tiempo.","No aplica."))</f>
        <v>No aplica.</v>
      </c>
      <c r="H19" s="67"/>
      <c r="I19" s="65"/>
      <c r="J19" s="67"/>
      <c r="K19" s="65"/>
      <c r="L19" s="141"/>
      <c r="M19" s="142"/>
      <c r="N19" s="142"/>
      <c r="O19" s="141">
        <f t="shared" si="4"/>
        <v>0</v>
      </c>
      <c r="P19" s="141"/>
      <c r="Q19" s="64"/>
      <c r="R19" s="1"/>
    </row>
    <row r="20" spans="1:18" ht="89.25" customHeight="1" outlineLevel="1">
      <c r="A20" s="145"/>
      <c r="B20" s="64">
        <v>8</v>
      </c>
      <c r="C20" s="65" t="s">
        <v>42</v>
      </c>
      <c r="D20" s="69"/>
      <c r="E20" s="69" t="str">
        <f t="shared" si="5"/>
        <v>Aceptable</v>
      </c>
      <c r="F20" s="65" t="str">
        <f t="shared" si="3"/>
        <v>No aplica.</v>
      </c>
      <c r="G20" s="65" t="str">
        <f>IF(AND(D20&gt;0,D20&lt;4),"Informar al personal la importancia de realizar esta práctica antes de utilizar cualquier sustancia, especialmente las peligrosas.",IF(AND(D20&gt;4,D20&lt;=5),"Se observan tendencias positivas y sostenidas de mejoramiento de todos los datos a lo largo del tiempo.","No aplica"))</f>
        <v>No aplica</v>
      </c>
      <c r="H20" s="65"/>
      <c r="I20" s="65"/>
      <c r="J20" s="67"/>
      <c r="K20" s="65"/>
      <c r="L20" s="141"/>
      <c r="M20" s="142"/>
      <c r="N20" s="142"/>
      <c r="O20" s="141">
        <f t="shared" si="4"/>
        <v>0</v>
      </c>
      <c r="P20" s="141"/>
      <c r="Q20" s="64"/>
      <c r="R20" s="1"/>
    </row>
    <row r="21" spans="1:18" ht="89.25" customHeight="1" outlineLevel="1">
      <c r="A21" s="145"/>
      <c r="B21" s="64">
        <v>9</v>
      </c>
      <c r="C21" s="65" t="s">
        <v>43</v>
      </c>
      <c r="D21" s="69"/>
      <c r="E21" s="69" t="str">
        <f t="shared" si="5"/>
        <v>Aceptable</v>
      </c>
      <c r="F21" s="65" t="str">
        <f t="shared" si="3"/>
        <v>No aplica.</v>
      </c>
      <c r="G21" s="65" t="str">
        <f>IF(AND(D21&gt;0,D21&lt;4),"Estandarizar envases, adquirir sustancias químicas en presentaciones que no requieran transvase.",IF(AND(D21&gt;4,D21&lt;=5),"Se observan tendencias positivas y sostenidas de mejoramiento de todos los datos a lo largo del tiempo.","No aplica."))</f>
        <v>No aplica.</v>
      </c>
      <c r="H21" s="66"/>
      <c r="I21" s="65"/>
      <c r="J21" s="65"/>
      <c r="K21" s="65"/>
      <c r="L21" s="141"/>
      <c r="M21" s="142"/>
      <c r="N21" s="142"/>
      <c r="O21" s="141">
        <f t="shared" si="4"/>
        <v>0</v>
      </c>
      <c r="P21" s="141"/>
      <c r="Q21" s="64"/>
      <c r="R21" s="1"/>
    </row>
    <row r="22" spans="1:18" ht="89.25" customHeight="1" outlineLevel="1">
      <c r="A22" s="145"/>
      <c r="B22" s="64">
        <v>10</v>
      </c>
      <c r="C22" s="65" t="s">
        <v>44</v>
      </c>
      <c r="D22" s="69"/>
      <c r="E22" s="69" t="str">
        <f t="shared" si="5"/>
        <v>Aceptable</v>
      </c>
      <c r="F22" s="65" t="str">
        <f t="shared" si="3"/>
        <v>No aplica.</v>
      </c>
      <c r="G22" s="65" t="str">
        <f>IF(AND(D22&gt;0,D22&lt;4),"Documentar o dar a conocer los procedimientos para el transvase seguro de las sustancias químicas. Disponer de los elementos necesarios de acuerdo a la peligrosidad de las sustancias químicas y volumen a manipular.",IF(AND(D22&gt;4,D22&lt;=5),"Se observan tendencias positivas y sostenidas de mejoramiento de todos los datos a lo largo del tiempo.","No aplica."))</f>
        <v>No aplica.</v>
      </c>
      <c r="H22" s="67"/>
      <c r="I22" s="65"/>
      <c r="J22" s="67"/>
      <c r="K22" s="65"/>
      <c r="L22" s="141"/>
      <c r="M22" s="142"/>
      <c r="N22" s="142"/>
      <c r="O22" s="141">
        <f t="shared" si="4"/>
        <v>0</v>
      </c>
      <c r="P22" s="141"/>
      <c r="Q22" s="64"/>
      <c r="R22" s="1"/>
    </row>
    <row r="23" spans="1:18" ht="15.75" customHeight="1" outlineLevel="1">
      <c r="A23" s="138"/>
      <c r="B23" s="104" t="s">
        <v>38</v>
      </c>
      <c r="C23" s="131"/>
      <c r="D23" s="96" t="e">
        <f>AVERAGE(D18:D22)</f>
        <v>#DIV/0!</v>
      </c>
      <c r="E23" s="126"/>
      <c r="F23" s="131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7"/>
      <c r="R23" s="8"/>
    </row>
    <row r="24" spans="1:18" ht="20.25" customHeight="1">
      <c r="A24" s="73"/>
      <c r="B24" s="81" t="s">
        <v>45</v>
      </c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31"/>
      <c r="R24" s="8"/>
    </row>
    <row r="25" spans="1:18" ht="90" customHeight="1" outlineLevel="1">
      <c r="A25" s="148" t="s">
        <v>45</v>
      </c>
      <c r="B25" s="60">
        <v>11</v>
      </c>
      <c r="C25" s="61" t="s">
        <v>46</v>
      </c>
      <c r="D25" s="149"/>
      <c r="E25" s="149" t="str">
        <f>IF(D25="NA","No aplica",IF(D25=1,"Inaceptable",IF(D25=3,"Importante","Aceptable")))</f>
        <v>Aceptable</v>
      </c>
      <c r="F25" s="61" t="str">
        <f t="shared" ref="F25:F36" si="6">IF(AND($D25&gt;=3,$D25&lt;=4),"Se presenta oportunidad de mejora.",IF(AND($D25&gt;4,$D25&lt;=5),"Continuar con el proceso de manera integral.",IF(AND($D25&gt;0,$D25&lt;3),"Intervenir inmediatamente, el estándar no ha sido apropiado por el área.","No aplica.")))</f>
        <v>No aplica.</v>
      </c>
      <c r="G25" s="61" t="str">
        <f>IF(AND(D25&gt;0,D25&lt;4),"Restringir e identificar el personal que puede tener acceso a ciertas áreas o sustancias según sus competencias y/o señalizar.",IF(AND(D25&gt;4,D25&lt;=5),"Se observan tendencias positivas y sostenidas de mejoramiento de todos los datos a lo largo del tiempo.","No aplica."))</f>
        <v>No aplica.</v>
      </c>
      <c r="H25" s="61"/>
      <c r="I25" s="61"/>
      <c r="J25" s="62"/>
      <c r="K25" s="61"/>
      <c r="L25" s="150"/>
      <c r="M25" s="151"/>
      <c r="N25" s="151"/>
      <c r="O25" s="150">
        <f t="shared" ref="O25:O36" si="7">N25-M25</f>
        <v>0</v>
      </c>
      <c r="P25" s="150"/>
      <c r="Q25" s="60"/>
      <c r="R25" s="117"/>
    </row>
    <row r="26" spans="1:18" ht="90" customHeight="1" outlineLevel="1">
      <c r="A26" s="152"/>
      <c r="B26" s="60">
        <v>12</v>
      </c>
      <c r="C26" s="61" t="s">
        <v>47</v>
      </c>
      <c r="D26" s="149"/>
      <c r="E26" s="149" t="str">
        <f t="shared" ref="E26:E36" si="8">IF(D26="NA","No aplica",IF(D26=1,"Inaceptable",IF(D26=3,"Importante","Aceptable")))</f>
        <v>Aceptable</v>
      </c>
      <c r="F26" s="61" t="str">
        <f t="shared" si="6"/>
        <v>No aplica.</v>
      </c>
      <c r="G26" s="61" t="str">
        <f>IF(AND(D26&gt;0,D26&lt;4),"Impermeabilizar el lugar de almacenamiento de las sustancias químicas para poder controlar los derrames y realizar una recolección adecuada, orden y aseo.",IF(AND(D26&gt;4,D26&lt;=5),"Se observan tendencias positivas y sostenidas de mejoramiento de todos los datos a lo largo del tiempo.","No aplica."))</f>
        <v>No aplica.</v>
      </c>
      <c r="H26" s="61"/>
      <c r="I26" s="61"/>
      <c r="J26" s="62"/>
      <c r="K26" s="61"/>
      <c r="L26" s="150"/>
      <c r="M26" s="151"/>
      <c r="N26" s="151"/>
      <c r="O26" s="150">
        <f t="shared" si="7"/>
        <v>0</v>
      </c>
      <c r="P26" s="150"/>
      <c r="Q26" s="60"/>
      <c r="R26" s="117"/>
    </row>
    <row r="27" spans="1:18" ht="90" customHeight="1" outlineLevel="1">
      <c r="A27" s="152"/>
      <c r="B27" s="60">
        <v>13</v>
      </c>
      <c r="C27" s="61" t="s">
        <v>48</v>
      </c>
      <c r="D27" s="149"/>
      <c r="E27" s="149" t="str">
        <f t="shared" si="8"/>
        <v>Aceptable</v>
      </c>
      <c r="F27" s="61" t="str">
        <f t="shared" si="6"/>
        <v>No aplica.</v>
      </c>
      <c r="G27" s="61" t="str">
        <f>IF(AND(D27&gt;0,D27&lt;4),"Realizar orden de mantenimiento para las paredes o muros identificados con fallas y realizar jornada de orden y aseo periódicamente.",IF(AND(D27&gt;4,D27&lt;=5),"Se observan tendencias positivas y sostenidas de mejoramiento de todos los datos a lo largo del tiempo.","No aplica."))</f>
        <v>No aplica.</v>
      </c>
      <c r="H27" s="61"/>
      <c r="I27" s="61"/>
      <c r="J27" s="62"/>
      <c r="K27" s="61"/>
      <c r="L27" s="150"/>
      <c r="M27" s="151"/>
      <c r="N27" s="151"/>
      <c r="O27" s="150">
        <f t="shared" si="7"/>
        <v>0</v>
      </c>
      <c r="P27" s="150"/>
      <c r="Q27" s="60"/>
      <c r="R27" s="117"/>
    </row>
    <row r="28" spans="1:18" ht="90" customHeight="1" outlineLevel="1">
      <c r="A28" s="152"/>
      <c r="B28" s="60">
        <v>14</v>
      </c>
      <c r="C28" s="61" t="s">
        <v>49</v>
      </c>
      <c r="D28" s="149"/>
      <c r="E28" s="149" t="str">
        <f t="shared" si="8"/>
        <v>Aceptable</v>
      </c>
      <c r="F28" s="61" t="str">
        <f t="shared" si="6"/>
        <v>No aplica.</v>
      </c>
      <c r="G28" s="61" t="str">
        <f>IF(AND(D28&gt;0,D28&lt;4),"Velar por medio de ventilación natural o artificial una iluminacion adecuada. En áreas donde se almanecen liquidos inflamables (con riesgo de acumulación de vapores) se recomienda la inslatación de lámparas antiexplosión.",IF(AND(D28&gt;4,D28&lt;=5),"Se observan tendencias positivas y sostenidas de mejoramiento de todos los datos a lo largo del tiempo.","No aplica."))</f>
        <v>No aplica.</v>
      </c>
      <c r="H28" s="61"/>
      <c r="I28" s="61"/>
      <c r="J28" s="62"/>
      <c r="K28" s="61"/>
      <c r="L28" s="150"/>
      <c r="M28" s="151"/>
      <c r="N28" s="151"/>
      <c r="O28" s="150">
        <f t="shared" si="7"/>
        <v>0</v>
      </c>
      <c r="P28" s="150"/>
      <c r="Q28" s="60"/>
      <c r="R28" s="117"/>
    </row>
    <row r="29" spans="1:18" ht="89.25" customHeight="1" outlineLevel="1">
      <c r="A29" s="152"/>
      <c r="B29" s="60">
        <v>15</v>
      </c>
      <c r="C29" s="61" t="s">
        <v>50</v>
      </c>
      <c r="D29" s="149"/>
      <c r="E29" s="149" t="str">
        <f t="shared" si="8"/>
        <v>Aceptable</v>
      </c>
      <c r="F29" s="61" t="str">
        <f t="shared" si="6"/>
        <v>No aplica.</v>
      </c>
      <c r="G29" s="61" t="str">
        <f>IF(AND(D29&gt;0,D29&lt;4),"Velar por medio de ventilación natural o forzada que en el lugar no se acumulen vapores.",IF(AND(D29&gt;4,D29&lt;=5),"Se observan tendencias positivas y sostenidas de mejoramiento de todos los datos a lo largo del tiempo.","No aplica."))</f>
        <v>No aplica.</v>
      </c>
      <c r="H29" s="62"/>
      <c r="I29" s="61"/>
      <c r="J29" s="62"/>
      <c r="K29" s="61"/>
      <c r="L29" s="150"/>
      <c r="M29" s="151"/>
      <c r="N29" s="151"/>
      <c r="O29" s="150">
        <f t="shared" si="7"/>
        <v>0</v>
      </c>
      <c r="P29" s="150"/>
      <c r="Q29" s="60"/>
      <c r="R29" s="117"/>
    </row>
    <row r="30" spans="1:18" ht="89.25" customHeight="1" outlineLevel="1">
      <c r="A30" s="152"/>
      <c r="B30" s="60">
        <v>16</v>
      </c>
      <c r="C30" s="61" t="s">
        <v>51</v>
      </c>
      <c r="D30" s="149"/>
      <c r="E30" s="149" t="str">
        <f t="shared" si="8"/>
        <v>Aceptable</v>
      </c>
      <c r="F30" s="61" t="str">
        <f t="shared" si="6"/>
        <v>No aplica.</v>
      </c>
      <c r="G30" s="61" t="str">
        <f>IF(AND(D30&gt;0,D30&lt;4),"Publicar matriz de compatibilidad química y aplicar para la segregación segura de las sustancias químcas en todo el ciclo de vida de las mismas.",IF(AND(D30&gt;4,D30&lt;=5),"Se observan tendencias positivas y sostenidas de mejoramiento de todos los datos a lo largo del tiempo.","No aplica."))</f>
        <v>No aplica.</v>
      </c>
      <c r="H30" s="62"/>
      <c r="I30" s="61"/>
      <c r="J30" s="62"/>
      <c r="K30" s="61"/>
      <c r="L30" s="150"/>
      <c r="M30" s="151"/>
      <c r="N30" s="151"/>
      <c r="O30" s="150">
        <f t="shared" si="7"/>
        <v>0</v>
      </c>
      <c r="P30" s="150"/>
      <c r="Q30" s="60"/>
      <c r="R30" s="117"/>
    </row>
    <row r="31" spans="1:18" ht="89.25" customHeight="1" outlineLevel="1">
      <c r="A31" s="152"/>
      <c r="B31" s="60">
        <v>17</v>
      </c>
      <c r="C31" s="61" t="s">
        <v>52</v>
      </c>
      <c r="D31" s="149"/>
      <c r="E31" s="149" t="str">
        <f t="shared" si="8"/>
        <v>Aceptable</v>
      </c>
      <c r="F31" s="61" t="str">
        <f t="shared" si="6"/>
        <v>No aplica.</v>
      </c>
      <c r="G31" s="61" t="str">
        <f>IF(AND(D31&gt;0,D31&lt;4),"Señalizar las áreas de almacenamiento.",IF(AND(D31&gt;4,D31&lt;=5),"Se observan tendencias positivas y sostenidas de mejoramiento de todos los datos a lo largo del tiempo.","No aplica."))</f>
        <v>No aplica.</v>
      </c>
      <c r="H31" s="62"/>
      <c r="I31" s="61"/>
      <c r="J31" s="62"/>
      <c r="K31" s="61"/>
      <c r="L31" s="150"/>
      <c r="M31" s="151"/>
      <c r="N31" s="151"/>
      <c r="O31" s="150">
        <f t="shared" si="7"/>
        <v>0</v>
      </c>
      <c r="P31" s="150"/>
      <c r="Q31" s="60"/>
      <c r="R31" s="117"/>
    </row>
    <row r="32" spans="1:18" ht="89.25" customHeight="1" outlineLevel="1">
      <c r="A32" s="152"/>
      <c r="B32" s="60">
        <v>18</v>
      </c>
      <c r="C32" s="61" t="s">
        <v>53</v>
      </c>
      <c r="D32" s="149"/>
      <c r="E32" s="149" t="str">
        <f t="shared" si="8"/>
        <v>Aceptable</v>
      </c>
      <c r="F32" s="61" t="str">
        <f t="shared" si="6"/>
        <v>No aplica.</v>
      </c>
      <c r="G32" s="61" t="str">
        <f>IF(AND(D32&gt;0,D32&lt;4),"Verificar que siempre que después de utilizar un producto químico este quede bien cerrado.",IF(AND(D32&gt;4,D32&lt;=5),"Se observan tendencias positivas y sostenidas de mejoramiento de todos los datos a lo largo del tiempo.","No aplica."))</f>
        <v>No aplica.</v>
      </c>
      <c r="H32" s="62"/>
      <c r="I32" s="61"/>
      <c r="J32" s="62"/>
      <c r="K32" s="61"/>
      <c r="L32" s="150"/>
      <c r="M32" s="151"/>
      <c r="N32" s="151"/>
      <c r="O32" s="150">
        <f t="shared" si="7"/>
        <v>0</v>
      </c>
      <c r="P32" s="150"/>
      <c r="Q32" s="60"/>
      <c r="R32" s="117"/>
    </row>
    <row r="33" spans="1:18" ht="90" customHeight="1" outlineLevel="1">
      <c r="A33" s="152"/>
      <c r="B33" s="60">
        <v>19</v>
      </c>
      <c r="C33" s="61" t="s">
        <v>54</v>
      </c>
      <c r="D33" s="149"/>
      <c r="E33" s="149" t="str">
        <f t="shared" si="8"/>
        <v>Aceptable</v>
      </c>
      <c r="F33" s="61" t="str">
        <f t="shared" si="6"/>
        <v>No aplica.</v>
      </c>
      <c r="G33" s="61" t="str">
        <f>IF(AND(D33&gt;0,D33&lt;4),"Definir la metodología para almacenar y mantener los productos químicos en las bodegas, laboratorios y áreas de proceso.",IF(AND(D33&gt;4,D33&lt;=5),"Se observan tendencias positivas y sostenidas de mejoramiento de todos los datos a lo largo del tiempo.","No aplica."))</f>
        <v>No aplica.</v>
      </c>
      <c r="H33" s="62"/>
      <c r="I33" s="61"/>
      <c r="J33" s="62"/>
      <c r="K33" s="61"/>
      <c r="L33" s="150"/>
      <c r="M33" s="151"/>
      <c r="N33" s="151"/>
      <c r="O33" s="150">
        <f t="shared" si="7"/>
        <v>0</v>
      </c>
      <c r="P33" s="150"/>
      <c r="Q33" s="60"/>
      <c r="R33" s="117"/>
    </row>
    <row r="34" spans="1:18" ht="90" customHeight="1" outlineLevel="1">
      <c r="A34" s="152"/>
      <c r="B34" s="60">
        <v>20</v>
      </c>
      <c r="C34" s="61" t="s">
        <v>55</v>
      </c>
      <c r="D34" s="149"/>
      <c r="E34" s="149" t="str">
        <f t="shared" si="8"/>
        <v>Aceptable</v>
      </c>
      <c r="F34" s="61" t="str">
        <f t="shared" si="6"/>
        <v>No aplica.</v>
      </c>
      <c r="G34" s="61" t="str">
        <f t="shared" ref="G34" si="9">IF(AND(D34&gt;0,D34&lt;4),"Documentar o dar a conocer los procedimientos para el almacenamiento seguro de las sustancias químicas.",IF(AND(D34&gt;4,D34&lt;=5),"Se observan tendencias positivas y sostenidas de mejoramiento de todos los datos a lo largo del tiempo.","No aplica."))</f>
        <v>No aplica.</v>
      </c>
      <c r="H34" s="63"/>
      <c r="I34" s="63"/>
      <c r="J34" s="153"/>
      <c r="K34" s="61"/>
      <c r="L34" s="150"/>
      <c r="M34" s="151"/>
      <c r="N34" s="151"/>
      <c r="O34" s="150">
        <f t="shared" si="7"/>
        <v>0</v>
      </c>
      <c r="P34" s="150"/>
      <c r="Q34" s="60"/>
      <c r="R34" s="117"/>
    </row>
    <row r="35" spans="1:18" ht="90" customHeight="1" outlineLevel="1">
      <c r="A35" s="152"/>
      <c r="B35" s="60">
        <v>21</v>
      </c>
      <c r="C35" s="61" t="s">
        <v>56</v>
      </c>
      <c r="D35" s="149"/>
      <c r="E35" s="149" t="str">
        <f t="shared" si="8"/>
        <v>Aceptable</v>
      </c>
      <c r="F35" s="61" t="str">
        <f t="shared" si="6"/>
        <v>No aplica.</v>
      </c>
      <c r="G35" s="61" t="str">
        <f>IF(AND(D35&gt;0,D35&lt;4),"Documentar o dar a conocer los procedimientos para el almacenamiento seguro de las sustancias químicas.",IF(AND(D35&gt;4,D35&lt;=5),"Se observan tendencias positivas y sostenidas de mejoramiento de todos los datos a lo largo del tiempo.","No aplica."))</f>
        <v>No aplica.</v>
      </c>
      <c r="H35" s="61"/>
      <c r="I35" s="61"/>
      <c r="J35" s="62"/>
      <c r="K35" s="61"/>
      <c r="L35" s="150"/>
      <c r="M35" s="151"/>
      <c r="N35" s="151"/>
      <c r="O35" s="150">
        <f t="shared" si="7"/>
        <v>0</v>
      </c>
      <c r="P35" s="150"/>
      <c r="Q35" s="60"/>
      <c r="R35" s="1"/>
    </row>
    <row r="36" spans="1:18" ht="90" customHeight="1" outlineLevel="1">
      <c r="A36" s="152"/>
      <c r="B36" s="60">
        <v>22</v>
      </c>
      <c r="C36" s="61" t="s">
        <v>57</v>
      </c>
      <c r="D36" s="149"/>
      <c r="E36" s="149" t="str">
        <f t="shared" si="8"/>
        <v>Aceptable</v>
      </c>
      <c r="F36" s="61" t="str">
        <f t="shared" si="6"/>
        <v>No aplica.</v>
      </c>
      <c r="G36" s="61" t="str">
        <f>IF(AND(D36&gt;0,D36&lt;4),"Asegurar que las instalaciones eléctricas se encuentran protegidas y lejos de sustancias comburentes (oxidantes) e inflamables.",IF(AND(D36&gt;4,D36&lt;=5),"Se observan tendencias positivas y sostenidas de mejoramiento de todos los datos a lo largo del tiempo.","No aplica."))</f>
        <v>No aplica.</v>
      </c>
      <c r="H36" s="61"/>
      <c r="I36" s="61"/>
      <c r="J36" s="62"/>
      <c r="K36" s="61"/>
      <c r="L36" s="150"/>
      <c r="M36" s="151"/>
      <c r="N36" s="151"/>
      <c r="O36" s="150">
        <f t="shared" si="7"/>
        <v>0</v>
      </c>
      <c r="P36" s="150"/>
      <c r="Q36" s="60"/>
      <c r="R36" s="1"/>
    </row>
    <row r="37" spans="1:18" ht="20.25" customHeight="1" outlineLevel="1">
      <c r="A37" s="152"/>
      <c r="B37" s="100" t="s">
        <v>38</v>
      </c>
      <c r="C37" s="130"/>
      <c r="D37" s="102" t="e">
        <f>AVERAGE(D25:D36)</f>
        <v>#DIV/0!</v>
      </c>
      <c r="E37" s="126"/>
      <c r="F37" s="131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117"/>
    </row>
    <row r="38" spans="1:18" ht="29.25" customHeight="1">
      <c r="A38" s="10"/>
      <c r="B38" s="101" t="s">
        <v>58</v>
      </c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31"/>
      <c r="R38" s="117"/>
    </row>
    <row r="39" spans="1:18" ht="90" customHeight="1" outlineLevel="1">
      <c r="A39" s="75" t="s">
        <v>58</v>
      </c>
      <c r="B39" s="11">
        <v>23</v>
      </c>
      <c r="C39" s="52" t="s">
        <v>59</v>
      </c>
      <c r="D39" s="154"/>
      <c r="E39" s="154" t="str">
        <f>IF(D39="NA","No aplica",IF(D39=1,"Inaceptable",IF(D39=3,"Importante","Aceptable")))</f>
        <v>Aceptable</v>
      </c>
      <c r="F39" s="52" t="str">
        <f>IF(AND($D39&gt;=3,$D39&lt;=4),"Se presenta oportunidad de mejora.",IF(AND($D39&gt;4,$D39&lt;=5),"Continuar con el proceso de manera integral.",IF(AND($D39&gt;0,$D39&lt;3),"Intervenir inmediatamente, el estándar no ha sido apropiado por el área.","No aplica.")))</f>
        <v>No aplica.</v>
      </c>
      <c r="G39" s="52" t="str">
        <f>IF(AND(D39&gt;0,D39&lt;4),"Dadas las condiciones de izage y manipulación de cargas, evaluar la necesidad de mejorar las condiciones para el transporte.",IF(AND(D39&gt;4,D39&lt;=5),"Se observan tendencias positivas y sostenidas de mejoramiento de todos los datos a lo largo del tiempo.","No aplica."))</f>
        <v>No aplica.</v>
      </c>
      <c r="H39" s="52"/>
      <c r="I39" s="52"/>
      <c r="J39" s="52"/>
      <c r="K39" s="52"/>
      <c r="L39" s="155"/>
      <c r="M39" s="156"/>
      <c r="N39" s="155"/>
      <c r="O39" s="157">
        <f t="shared" ref="O39:O46" si="10">N39-M39</f>
        <v>0</v>
      </c>
      <c r="P39" s="155"/>
      <c r="Q39" s="51"/>
      <c r="R39" s="1"/>
    </row>
    <row r="40" spans="1:18" ht="90" customHeight="1" outlineLevel="1">
      <c r="A40" s="75"/>
      <c r="B40" s="11">
        <v>24</v>
      </c>
      <c r="C40" s="52" t="s">
        <v>60</v>
      </c>
      <c r="D40" s="154"/>
      <c r="E40" s="154" t="str">
        <f t="shared" ref="E40:E46" si="11">IF(D40="NA","No aplica",IF(D40=1,"Inaceptable",IF(D40=3,"Importante","Aceptable")))</f>
        <v>Aceptable</v>
      </c>
      <c r="F40" s="52" t="str">
        <f>IF(AND($D40&gt;=3,$D40&lt;=4),"Se presenta oportunidad de mejora.",IF(AND($D40&gt;4,$D40&lt;=5),"Continuar con el proceso de manera integral.",IF(AND($D40&gt;0,$D40&lt;3),"Intervenir inmediatamente, el estándar no ha sido apropiado por el área.","No aplica.")))</f>
        <v>No aplica.</v>
      </c>
      <c r="G40" s="49" t="str">
        <f>IF(AND(D40&gt;0,D40&lt;4),"Revisar la normatividad vigente, para la implementación de la señalización para el transporte de sustancias químicas peligrosas.",IF(AND(D40&gt;4,D40&lt;=5),"Se observan tendencias positivas y sostenidas de mejoramiento de todos los datos a lo largo del tiempo.","No aplica."))</f>
        <v>No aplica.</v>
      </c>
      <c r="H40" s="52"/>
      <c r="I40" s="52"/>
      <c r="J40" s="52"/>
      <c r="K40" s="52"/>
      <c r="L40" s="155"/>
      <c r="M40" s="156"/>
      <c r="N40" s="155"/>
      <c r="O40" s="157">
        <f t="shared" si="10"/>
        <v>0</v>
      </c>
      <c r="P40" s="155"/>
      <c r="Q40" s="51"/>
      <c r="R40" s="1"/>
    </row>
    <row r="41" spans="1:18" ht="90" customHeight="1" outlineLevel="1">
      <c r="A41" s="145"/>
      <c r="B41" s="3">
        <v>25</v>
      </c>
      <c r="C41" s="49" t="s">
        <v>61</v>
      </c>
      <c r="D41" s="154"/>
      <c r="E41" s="154" t="str">
        <f t="shared" si="11"/>
        <v>Aceptable</v>
      </c>
      <c r="F41" s="49" t="str">
        <f t="shared" ref="F41:F46" si="12">IF(AND($D41&gt;=3,$D41&lt;=4),"Se presenta oportunidad de mejora.",IF(AND($D41&gt;4,$D41&lt;=5),"Continuar con el proceso de manera integral.",IF(AND($D41&gt;0,$D41&lt;3),"Intervenir inmediatamente, el estándar no ha sido apropiado por el área.","No aplica.")))</f>
        <v>No aplica.</v>
      </c>
      <c r="G41" s="49" t="str">
        <f>IF(AND(D41&gt;0,D41&lt;4),"Dadas las condiciones de izage y manipulación de cargas, evaluar la necesidad de mejorar las condiciones para el transporte.",IF(AND(D41&gt;4,D41&lt;=5),"Se observan tendencias positivas y sostenidas de mejoramiento de todos los datos a lo largo del tiempo.","No aplica."))</f>
        <v>No aplica.</v>
      </c>
      <c r="H41" s="49"/>
      <c r="I41" s="49"/>
      <c r="J41" s="49"/>
      <c r="K41" s="49"/>
      <c r="L41" s="158"/>
      <c r="M41" s="159"/>
      <c r="N41" s="158"/>
      <c r="O41" s="157">
        <f t="shared" si="10"/>
        <v>0</v>
      </c>
      <c r="P41" s="158"/>
      <c r="Q41" s="48"/>
      <c r="R41" s="1"/>
    </row>
    <row r="42" spans="1:18" ht="90" customHeight="1" outlineLevel="1">
      <c r="A42" s="145"/>
      <c r="B42" s="3">
        <v>26</v>
      </c>
      <c r="C42" s="49" t="s">
        <v>62</v>
      </c>
      <c r="D42" s="154"/>
      <c r="E42" s="154" t="str">
        <f t="shared" si="11"/>
        <v>Aceptable</v>
      </c>
      <c r="F42" s="49" t="str">
        <f t="shared" si="12"/>
        <v>No aplica.</v>
      </c>
      <c r="G42" s="49" t="str">
        <f>IF(AND(D42&gt;0,D42&lt;4),"Los trabajadores deben conocer e interpretar la ficha de dadtos de seguridad e información esencial para el transporte seguro.",IF(AND(D42&gt;4,D42&lt;=5),"Se observan tendencias positivas y sostenidas de mejoramiento de todos los datos a lo largo del tiempo.","No aplica."))</f>
        <v>No aplica.</v>
      </c>
      <c r="H42" s="50"/>
      <c r="I42" s="49"/>
      <c r="J42" s="49"/>
      <c r="K42" s="49"/>
      <c r="L42" s="158"/>
      <c r="M42" s="159"/>
      <c r="N42" s="158"/>
      <c r="O42" s="157">
        <f t="shared" si="10"/>
        <v>0</v>
      </c>
      <c r="P42" s="158"/>
      <c r="Q42" s="48"/>
      <c r="R42" s="1"/>
    </row>
    <row r="43" spans="1:18" ht="90" customHeight="1" outlineLevel="1">
      <c r="A43" s="145"/>
      <c r="B43" s="3">
        <v>27</v>
      </c>
      <c r="C43" s="49" t="s">
        <v>63</v>
      </c>
      <c r="D43" s="154"/>
      <c r="E43" s="154" t="str">
        <f t="shared" si="11"/>
        <v>Aceptable</v>
      </c>
      <c r="F43" s="49" t="str">
        <f t="shared" si="12"/>
        <v>No aplica.</v>
      </c>
      <c r="G43" s="49" t="str">
        <f>IF(AND(D43&gt;0,D43&lt;4),"Verificar que los conductores cumplan con la normatividad relacionada con transporte de sustancias peligrosas.",IF(AND(D43&gt;4,D43&lt;=5),"Se observan tendencias positivas y sostenidas de mejoramiento de todos los datos a lo largo del tiempo.","No aplica."))</f>
        <v>No aplica.</v>
      </c>
      <c r="H43" s="50"/>
      <c r="I43" s="49"/>
      <c r="J43" s="49"/>
      <c r="K43" s="49"/>
      <c r="L43" s="158"/>
      <c r="M43" s="159"/>
      <c r="N43" s="158"/>
      <c r="O43" s="157">
        <f t="shared" si="10"/>
        <v>0</v>
      </c>
      <c r="P43" s="158"/>
      <c r="Q43" s="48"/>
      <c r="R43" s="1"/>
    </row>
    <row r="44" spans="1:18" ht="90" customHeight="1" outlineLevel="1">
      <c r="A44" s="145"/>
      <c r="B44" s="3">
        <v>28</v>
      </c>
      <c r="C44" s="49" t="s">
        <v>64</v>
      </c>
      <c r="D44" s="154"/>
      <c r="E44" s="154" t="str">
        <f t="shared" si="11"/>
        <v>Aceptable</v>
      </c>
      <c r="F44" s="49" t="str">
        <f t="shared" si="12"/>
        <v>No aplica.</v>
      </c>
      <c r="G44" s="49" t="str">
        <f>IF(AND(D44&gt;0,D44&lt;4),"Revisar la documentación para atención de emergencias con sustancias químicas y socializarla.",IF(AND(D44&gt;4,D44&lt;=5),"Se observan tendencias positivas y sostenidas de mejoramiento de todos los datos a lo largo del tiempo.","No aplica."))</f>
        <v>No aplica.</v>
      </c>
      <c r="H44" s="49"/>
      <c r="I44" s="49"/>
      <c r="J44" s="49"/>
      <c r="K44" s="49"/>
      <c r="L44" s="158"/>
      <c r="M44" s="159"/>
      <c r="N44" s="158"/>
      <c r="O44" s="157">
        <f t="shared" si="10"/>
        <v>0</v>
      </c>
      <c r="P44" s="158"/>
      <c r="Q44" s="48"/>
      <c r="R44" s="117"/>
    </row>
    <row r="45" spans="1:18" ht="90" customHeight="1" outlineLevel="1">
      <c r="A45" s="145"/>
      <c r="B45" s="11">
        <v>29</v>
      </c>
      <c r="C45" s="49" t="s">
        <v>65</v>
      </c>
      <c r="D45" s="154"/>
      <c r="E45" s="154" t="str">
        <f t="shared" si="11"/>
        <v>Aceptable</v>
      </c>
      <c r="F45" s="49" t="str">
        <f t="shared" si="12"/>
        <v>No aplica.</v>
      </c>
      <c r="G45" s="49" t="str">
        <f>IF(AND(D45&gt;0,D45&lt;4),"Portar los elementos necesarios y adecuados para el transporte interno seguro de las sustancias químcias.",IF(AND(D45&gt;4,D45&lt;=5),"Se observan tendencias positivas y sostenidas de mejoramiento de todos los datos a lo largo del tiempo.","No aplica."))</f>
        <v>No aplica.</v>
      </c>
      <c r="H45" s="49"/>
      <c r="I45" s="49"/>
      <c r="J45" s="49"/>
      <c r="K45" s="49"/>
      <c r="L45" s="158"/>
      <c r="M45" s="159"/>
      <c r="N45" s="158"/>
      <c r="O45" s="157">
        <f t="shared" si="10"/>
        <v>0</v>
      </c>
      <c r="P45" s="158"/>
      <c r="Q45" s="48"/>
      <c r="R45" s="117"/>
    </row>
    <row r="46" spans="1:18" ht="90" customHeight="1" outlineLevel="1">
      <c r="A46" s="145"/>
      <c r="B46" s="3">
        <v>30</v>
      </c>
      <c r="C46" s="49" t="s">
        <v>66</v>
      </c>
      <c r="D46" s="154"/>
      <c r="E46" s="154" t="str">
        <f t="shared" si="11"/>
        <v>Aceptable</v>
      </c>
      <c r="F46" s="49" t="str">
        <f t="shared" si="12"/>
        <v>No aplica.</v>
      </c>
      <c r="G46" s="49" t="str">
        <f>IF(AND(D46&gt;0,D46&lt;4),"Identificar las sustancias que generan algún peligro para el trabajador en el transporte interno y generar procedimientos seguros para que disminuir los peligros en el traslado de los productos.",IF(AND(D46&gt;4,D46&lt;=5),"Se observan tendencias positivas y sostenidas de mejoramiento de todos los datos a lo largo del tiempo.","No aplica."))</f>
        <v>No aplica.</v>
      </c>
      <c r="H46" s="49"/>
      <c r="I46" s="49"/>
      <c r="J46" s="49"/>
      <c r="K46" s="49"/>
      <c r="L46" s="158"/>
      <c r="M46" s="159"/>
      <c r="N46" s="158"/>
      <c r="O46" s="157">
        <f t="shared" si="10"/>
        <v>0</v>
      </c>
      <c r="P46" s="158"/>
      <c r="Q46" s="48"/>
      <c r="R46" s="117"/>
    </row>
    <row r="47" spans="1:18" ht="29.25" customHeight="1" outlineLevel="1">
      <c r="A47" s="145"/>
      <c r="B47" s="76" t="s">
        <v>38</v>
      </c>
      <c r="C47" s="130"/>
      <c r="D47" s="78" t="e">
        <f>AVERAGE((D39:D46))</f>
        <v>#DIV/0!</v>
      </c>
      <c r="E47" s="129"/>
      <c r="F47" s="13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1"/>
      <c r="R47" s="117"/>
    </row>
    <row r="48" spans="1:18" ht="15.75" customHeight="1">
      <c r="A48" s="12"/>
      <c r="B48" s="77" t="s">
        <v>67</v>
      </c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31"/>
      <c r="R48" s="117"/>
    </row>
    <row r="49" spans="1:18" ht="90" customHeight="1" outlineLevel="1">
      <c r="A49" s="74" t="s">
        <v>67</v>
      </c>
      <c r="B49" s="58">
        <v>31</v>
      </c>
      <c r="C49" s="162" t="s">
        <v>68</v>
      </c>
      <c r="D49" s="163"/>
      <c r="E49" s="163" t="str">
        <f>IF(D49="NA","No aplica",IF(D49=1,"Inaceptable",IF(D49=3,"Importante","Aceptable")))</f>
        <v>Aceptable</v>
      </c>
      <c r="F49" s="162" t="str">
        <f t="shared" ref="F49:F55" si="13">IF(AND($D49&gt;=3,$D49&lt;=4),"Se presenta oportunidad de mejora.",IF(AND($D49&gt;4,$D49&lt;=5),"Continuar con el proceso de manera integral.",IF(AND($D49&gt;0,$D49&lt;3),"Intervenir inmediatamente, el estándar no ha sido apropiado por el área.","No aplica.")))</f>
        <v>No aplica.</v>
      </c>
      <c r="G49" s="162" t="str">
        <f>IF(AND(D49&gt;0,D49&lt;4),"En caso de ser necesario luego de evaluar la criticidad de las tareas realizadas en el área instalar un sistema de alarma.",IF(AND(D49&gt;4,D49&lt;=5),"Se observan tendencias positivas y sostenidas de mejoramiento de todos los datos a lo largo del tiempo.","No aplica."))</f>
        <v>No aplica.</v>
      </c>
      <c r="H49" s="162"/>
      <c r="I49" s="162"/>
      <c r="J49" s="162"/>
      <c r="K49" s="162"/>
      <c r="L49" s="164"/>
      <c r="M49" s="165"/>
      <c r="N49" s="165"/>
      <c r="O49" s="164">
        <f t="shared" ref="O49:O55" si="14">N49-M49</f>
        <v>0</v>
      </c>
      <c r="P49" s="164"/>
      <c r="Q49" s="58"/>
      <c r="R49" s="117"/>
    </row>
    <row r="50" spans="1:18" ht="90" customHeight="1" outlineLevel="1">
      <c r="A50" s="145"/>
      <c r="B50" s="58">
        <v>32</v>
      </c>
      <c r="C50" s="57" t="s">
        <v>69</v>
      </c>
      <c r="D50" s="163"/>
      <c r="E50" s="163" t="str">
        <f t="shared" ref="E50:E55" si="15">IF(D50="NA","No aplica",IF(D50=1,"Inaceptable",IF(D50=3,"Importante","Aceptable")))</f>
        <v>Aceptable</v>
      </c>
      <c r="F50" s="57" t="str">
        <f t="shared" si="13"/>
        <v>No aplica.</v>
      </c>
      <c r="G50" s="57" t="str">
        <f>IF(AND(D50&gt;0,D50&lt;4),"Disponer de kit para atención de derrames y capacitar al personal en uso.",IF(AND(D50&gt;4,D50&lt;=5),"Se observan tendencias positivas y sostenidas de mejoramiento de todos los datos a lo largo del tiempo.","No aplica."))</f>
        <v>No aplica.</v>
      </c>
      <c r="H50" s="59"/>
      <c r="I50" s="57"/>
      <c r="J50" s="59"/>
      <c r="K50" s="57"/>
      <c r="L50" s="166"/>
      <c r="M50" s="167"/>
      <c r="N50" s="167"/>
      <c r="O50" s="166">
        <f t="shared" si="14"/>
        <v>0</v>
      </c>
      <c r="P50" s="166"/>
      <c r="Q50" s="56"/>
      <c r="R50" s="117"/>
    </row>
    <row r="51" spans="1:18" ht="90" customHeight="1" outlineLevel="1">
      <c r="A51" s="145"/>
      <c r="B51" s="56">
        <v>33</v>
      </c>
      <c r="C51" s="57" t="s">
        <v>70</v>
      </c>
      <c r="D51" s="163"/>
      <c r="E51" s="163" t="str">
        <f t="shared" si="15"/>
        <v>Aceptable</v>
      </c>
      <c r="F51" s="57" t="str">
        <f t="shared" si="13"/>
        <v>No aplica.</v>
      </c>
      <c r="G51" s="57" t="str">
        <f>IF(AND(D51&gt;0,D51&lt;4),"Según la peligrosidad de las sustancias y el grado de afección a la salud de los trabajadores identificar la necesidad de generar los controles de higiene para la atención de las emergencias.",IF(AND(D51&gt;4,D51&lt;=5),"Se observan tendencias positivas y sostenidas de mejoramiento de todos los datos a lo largo del tiempo.","No aplica."))</f>
        <v>No aplica.</v>
      </c>
      <c r="H51" s="59"/>
      <c r="I51" s="57"/>
      <c r="J51" s="59"/>
      <c r="K51" s="57"/>
      <c r="L51" s="166"/>
      <c r="M51" s="167"/>
      <c r="N51" s="167"/>
      <c r="O51" s="166">
        <f t="shared" si="14"/>
        <v>0</v>
      </c>
      <c r="P51" s="166"/>
      <c r="Q51" s="56"/>
      <c r="R51" s="117"/>
    </row>
    <row r="52" spans="1:18" ht="90" customHeight="1" outlineLevel="1">
      <c r="A52" s="145"/>
      <c r="B52" s="58">
        <v>34</v>
      </c>
      <c r="C52" s="57" t="s">
        <v>71</v>
      </c>
      <c r="D52" s="163"/>
      <c r="E52" s="163" t="str">
        <f t="shared" si="15"/>
        <v>Aceptable</v>
      </c>
      <c r="F52" s="57" t="str">
        <f t="shared" si="13"/>
        <v>No aplica.</v>
      </c>
      <c r="G52" s="57" t="str">
        <f>IF(AND(D52&gt;0,D52&lt;4),"Identificar la vulnerabilidad en equipos, personas, procedimientos, vulnerabilidad social-ambiental, y de acuerdo a esto generar controles que permitan detectar y atender una emergencia.",IF(AND(D52&gt;4,D52&lt;=5),"Se observan tendencias positivas y sostenidas de mejoramiento de todos los datos a lo largo del tiempo.","No aplica."))</f>
        <v>No aplica.</v>
      </c>
      <c r="H52" s="59"/>
      <c r="I52" s="57"/>
      <c r="J52" s="59"/>
      <c r="K52" s="57"/>
      <c r="L52" s="166"/>
      <c r="M52" s="167"/>
      <c r="N52" s="167"/>
      <c r="O52" s="166">
        <f t="shared" si="14"/>
        <v>0</v>
      </c>
      <c r="P52" s="166"/>
      <c r="Q52" s="56"/>
      <c r="R52" s="117"/>
    </row>
    <row r="53" spans="1:18" ht="90" customHeight="1" outlineLevel="1">
      <c r="A53" s="145"/>
      <c r="B53" s="56">
        <v>35</v>
      </c>
      <c r="C53" s="57" t="s">
        <v>72</v>
      </c>
      <c r="D53" s="163"/>
      <c r="E53" s="163" t="str">
        <f t="shared" si="15"/>
        <v>Aceptable</v>
      </c>
      <c r="F53" s="57" t="str">
        <f t="shared" si="13"/>
        <v>No aplica.</v>
      </c>
      <c r="G53" s="57" t="str">
        <f>IF(AND(D53&gt;0,D53&lt;4),"Documentar e implementar un programa de capacitación y entrenamiento por niveles o por competencias según las necesidad. Debe contemplar la inducción del personal nuevo y la reinducción periódica de los trabajadores. Incluir partes interesadas.",IF(AND(D53&gt;4,D53&lt;=5),"Se observan tendencias positivas y sostenidas de mejoramiento de todos los datos a lo largo del tiempo.","No aplica."))</f>
        <v>No aplica.</v>
      </c>
      <c r="H53" s="59"/>
      <c r="I53" s="57"/>
      <c r="J53" s="59"/>
      <c r="K53" s="57"/>
      <c r="L53" s="166"/>
      <c r="M53" s="167"/>
      <c r="N53" s="167"/>
      <c r="O53" s="166">
        <f t="shared" si="14"/>
        <v>0</v>
      </c>
      <c r="P53" s="166"/>
      <c r="Q53" s="56"/>
      <c r="R53" s="117"/>
    </row>
    <row r="54" spans="1:18" ht="90" customHeight="1" outlineLevel="1">
      <c r="A54" s="145"/>
      <c r="B54" s="58">
        <v>36</v>
      </c>
      <c r="C54" s="57" t="s">
        <v>73</v>
      </c>
      <c r="D54" s="163"/>
      <c r="E54" s="163" t="str">
        <f t="shared" si="15"/>
        <v>Aceptable</v>
      </c>
      <c r="F54" s="57" t="str">
        <f t="shared" si="13"/>
        <v>No aplica.</v>
      </c>
      <c r="G54" s="57" t="str">
        <f>IF(AND(D54&gt;0,D54&lt;4),"Identificar las rutas de evacuación según las necesidades del área.",IF(AND(D54&gt;4,D54&lt;=5),"Se observan tendencias positivas y sostenidas de mejoramiento de todos los datos a lo largo del tiempo.","No aplica."))</f>
        <v>No aplica.</v>
      </c>
      <c r="H54" s="59"/>
      <c r="I54" s="57"/>
      <c r="J54" s="59"/>
      <c r="K54" s="57"/>
      <c r="L54" s="166"/>
      <c r="M54" s="167"/>
      <c r="N54" s="167"/>
      <c r="O54" s="166">
        <f t="shared" si="14"/>
        <v>0</v>
      </c>
      <c r="P54" s="166"/>
      <c r="Q54" s="56"/>
      <c r="R54" s="117"/>
    </row>
    <row r="55" spans="1:18" ht="90" customHeight="1" outlineLevel="1">
      <c r="A55" s="145"/>
      <c r="B55" s="56">
        <v>37</v>
      </c>
      <c r="C55" s="57" t="s">
        <v>74</v>
      </c>
      <c r="D55" s="163"/>
      <c r="E55" s="163" t="str">
        <f t="shared" si="15"/>
        <v>Aceptable</v>
      </c>
      <c r="F55" s="57" t="str">
        <f t="shared" si="13"/>
        <v>No aplica.</v>
      </c>
      <c r="G55" s="57" t="str">
        <f>IF(AND(D55&gt;0,D55&lt;4),"Evaluar la viabilidad de realizar un simulacro en el área con una emergencia química.",IF(AND(D55&gt;4,D55&lt;=5),"Se observan tendencias positivas y sostenidas de mejoramiento de todos los datos a lo largo del tiempo.","No aplica."))</f>
        <v>No aplica.</v>
      </c>
      <c r="H55" s="59"/>
      <c r="I55" s="57"/>
      <c r="J55" s="59"/>
      <c r="K55" s="57"/>
      <c r="L55" s="166"/>
      <c r="M55" s="167"/>
      <c r="N55" s="167"/>
      <c r="O55" s="166">
        <f t="shared" si="14"/>
        <v>0</v>
      </c>
      <c r="P55" s="166"/>
      <c r="Q55" s="56"/>
      <c r="R55" s="117"/>
    </row>
    <row r="56" spans="1:18" ht="19.5" customHeight="1" outlineLevel="1">
      <c r="A56" s="138"/>
      <c r="B56" s="80" t="s">
        <v>38</v>
      </c>
      <c r="C56" s="131"/>
      <c r="D56" s="103" t="e">
        <f>AVERAGE(D49:D55)</f>
        <v>#DIV/0!</v>
      </c>
      <c r="E56" s="126"/>
      <c r="F56" s="131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5"/>
      <c r="R56" s="16"/>
    </row>
    <row r="57" spans="1:18" ht="24.75" customHeight="1">
      <c r="A57" s="168"/>
      <c r="B57" s="81" t="s">
        <v>75</v>
      </c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31"/>
      <c r="R57" s="117"/>
    </row>
    <row r="58" spans="1:18" ht="90" customHeight="1" outlineLevel="1">
      <c r="A58" s="168"/>
      <c r="B58" s="56">
        <v>38</v>
      </c>
      <c r="C58" s="57" t="s">
        <v>76</v>
      </c>
      <c r="D58" s="169"/>
      <c r="E58" s="169" t="str">
        <f>IF(D58="NA","No aplica",IF(D58=1,"Inaceptable",IF(D58=3,"Importante","Aceptable")))</f>
        <v>Aceptable</v>
      </c>
      <c r="F58" s="57" t="str">
        <f t="shared" ref="F58:F62" si="16">IF(AND($D58&gt;=3,$D58&lt;=4),"Se presenta oportunidad de mejora.",IF(AND($D58&gt;4,$D58&lt;=5),"Continuar con el proceso de manera integral.",IF(AND($D58&gt;0,$D58&lt;3),"Intervenir inmediatamente, el estándar no ha sido apropiado por el área.","No aplica.")))</f>
        <v>No aplica.</v>
      </c>
      <c r="G58" s="57" t="str">
        <f>IF(AND(D58&gt;0,D58&lt;4),"Evitar almacenamiento de sustancias químicas en las áreas de consumo, almacenamiento o preparación de alimentos.",IF(AND(D58&gt;4,D58&lt;=5),"Se observan tendencias positivas y sostenidas de mejoramiento de todos los datos a lo largo del tiempo.","No aplica."))</f>
        <v>No aplica.</v>
      </c>
      <c r="H58" s="57"/>
      <c r="I58" s="57"/>
      <c r="J58" s="57"/>
      <c r="K58" s="57"/>
      <c r="L58" s="166"/>
      <c r="M58" s="167"/>
      <c r="N58" s="167"/>
      <c r="O58" s="166">
        <f t="shared" ref="O58:O62" si="17">N58-M58</f>
        <v>0</v>
      </c>
      <c r="P58" s="166"/>
      <c r="Q58" s="56"/>
      <c r="R58" s="117"/>
    </row>
    <row r="59" spans="1:18" ht="90" customHeight="1" outlineLevel="1">
      <c r="A59" s="170" t="s">
        <v>75</v>
      </c>
      <c r="B59" s="56">
        <v>39</v>
      </c>
      <c r="C59" s="57" t="s">
        <v>77</v>
      </c>
      <c r="D59" s="169"/>
      <c r="E59" s="169" t="str">
        <f t="shared" ref="E59:E62" si="18">IF(D59="NA","No aplica",IF(D59=1,"Inaceptable",IF(D59=3,"Importante","Aceptable")))</f>
        <v>Aceptable</v>
      </c>
      <c r="F59" s="57" t="str">
        <f t="shared" si="16"/>
        <v>No aplica.</v>
      </c>
      <c r="G59" s="57" t="str">
        <f>IF(AND(D59&gt;0,D59&lt;4),"Crear un programa de capacitación y entrenamiento estructurado por niveles o por competencias según las necesidades del cargo para realizar la separación adecuadamente desde la fuente.",IF(AND(D59&gt;4,D59&lt;=5),"Se observan tendencias positivas y sostenidas de mejoramiento de todos los datos a lo largo del tiempo.","No aplica."))</f>
        <v>No aplica.</v>
      </c>
      <c r="H59" s="57"/>
      <c r="I59" s="57"/>
      <c r="J59" s="57"/>
      <c r="K59" s="57"/>
      <c r="L59" s="166"/>
      <c r="M59" s="167"/>
      <c r="N59" s="167"/>
      <c r="O59" s="166">
        <f t="shared" si="17"/>
        <v>0</v>
      </c>
      <c r="P59" s="166"/>
      <c r="Q59" s="56"/>
      <c r="R59" s="117"/>
    </row>
    <row r="60" spans="1:18" ht="90" customHeight="1" outlineLevel="1">
      <c r="A60" s="145"/>
      <c r="B60" s="56">
        <v>40</v>
      </c>
      <c r="C60" s="57" t="s">
        <v>78</v>
      </c>
      <c r="D60" s="169"/>
      <c r="E60" s="169" t="str">
        <f t="shared" si="18"/>
        <v>Aceptable</v>
      </c>
      <c r="F60" s="57" t="str">
        <f t="shared" si="16"/>
        <v>No aplica.</v>
      </c>
      <c r="G60" s="57" t="str">
        <f>IF(AND(D60&gt;0,D60&lt;4),"Identificar el tipo de residuos que se genera y definir identificación y almacenamiento temporal. Revisar los protocolos e instructivos para manejo de residuos de materiales peligrosos que pueden existir por ISO 14001 o por cumplimiento legal.",IF(AND(D60&gt;4,D60&lt;=5),"Se observan tendencias positivas y sostenidas de mejoramiento de todos los datos a lo largo del tiempo.","No aplica"))</f>
        <v>No aplica</v>
      </c>
      <c r="H60" s="59"/>
      <c r="I60" s="57"/>
      <c r="J60" s="59"/>
      <c r="K60" s="57"/>
      <c r="L60" s="166"/>
      <c r="M60" s="167"/>
      <c r="N60" s="167"/>
      <c r="O60" s="166">
        <f t="shared" si="17"/>
        <v>0</v>
      </c>
      <c r="P60" s="166"/>
      <c r="Q60" s="56"/>
      <c r="R60" s="117"/>
    </row>
    <row r="61" spans="1:18" ht="90" customHeight="1" outlineLevel="1">
      <c r="A61" s="145"/>
      <c r="B61" s="56">
        <v>41</v>
      </c>
      <c r="C61" s="57" t="s">
        <v>79</v>
      </c>
      <c r="D61" s="169"/>
      <c r="E61" s="169" t="str">
        <f t="shared" si="18"/>
        <v>Aceptable</v>
      </c>
      <c r="F61" s="57" t="str">
        <f t="shared" si="16"/>
        <v>No aplica.</v>
      </c>
      <c r="G61" s="57" t="str">
        <f>IF(AND(D61&gt;0,D61&lt;4),"Identificar el tipo de residuos que se genera y definir identificación y almacenamiento temporal. Revisar los protocolos e instructivos para manejo de residuos de materiales peligrosos que pueden existir por ISO 14001 o por cumplimiento legal.",IF(AND(D61&gt;4,D61&lt;=5),"Se observan tendencias positivas y sostenidas de mejoramiento de todos los datos a lo largo del tiempo.","No aplica"))</f>
        <v>No aplica</v>
      </c>
      <c r="H61" s="59"/>
      <c r="I61" s="57"/>
      <c r="J61" s="59"/>
      <c r="K61" s="57"/>
      <c r="L61" s="166"/>
      <c r="M61" s="167"/>
      <c r="N61" s="167"/>
      <c r="O61" s="166"/>
      <c r="P61" s="166"/>
      <c r="Q61" s="56"/>
      <c r="R61" s="117"/>
    </row>
    <row r="62" spans="1:18" ht="90" customHeight="1" outlineLevel="1">
      <c r="A62" s="145"/>
      <c r="B62" s="56">
        <v>42</v>
      </c>
      <c r="C62" s="57" t="s">
        <v>80</v>
      </c>
      <c r="D62" s="169"/>
      <c r="E62" s="169" t="str">
        <f t="shared" si="18"/>
        <v>Aceptable</v>
      </c>
      <c r="F62" s="57" t="str">
        <f t="shared" si="16"/>
        <v>No aplica.</v>
      </c>
      <c r="G62" s="57" t="str">
        <f>IF(AND(D62&gt;0,D62&lt;4),"Documentar e implementar un cronograma para la inspección y mantenimiento preventivo y correctivo.",IF(AND(D62&gt;4,D62&lt;=5),"Se observan tendencias positivas y sostenidas de mejoramiento de todos los datos a lo largo del tiempo.","No aplica."))</f>
        <v>No aplica.</v>
      </c>
      <c r="H62" s="59"/>
      <c r="I62" s="57"/>
      <c r="J62" s="59"/>
      <c r="K62" s="57"/>
      <c r="L62" s="166"/>
      <c r="M62" s="167"/>
      <c r="N62" s="167"/>
      <c r="O62" s="166">
        <f t="shared" si="17"/>
        <v>0</v>
      </c>
      <c r="P62" s="166"/>
      <c r="Q62" s="56"/>
      <c r="R62" s="117"/>
    </row>
    <row r="63" spans="1:18" ht="20.25" customHeight="1" outlineLevel="1">
      <c r="A63" s="145"/>
      <c r="B63" s="100" t="s">
        <v>38</v>
      </c>
      <c r="C63" s="130"/>
      <c r="D63" s="79" t="e">
        <f>AVERAGE(D58:D62)</f>
        <v>#DIV/0!</v>
      </c>
      <c r="E63" s="129"/>
      <c r="F63" s="130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6"/>
      <c r="R63" s="16"/>
    </row>
    <row r="64" spans="1:18" ht="15.75" customHeight="1">
      <c r="A64" s="117"/>
      <c r="B64" s="1"/>
      <c r="C64" s="53"/>
      <c r="D64" s="1"/>
      <c r="E64" s="1"/>
      <c r="F64" s="1"/>
      <c r="G64" s="1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</row>
    <row r="65" spans="1:18" ht="15.75" customHeight="1">
      <c r="A65" s="117"/>
      <c r="B65" s="1"/>
      <c r="C65" s="53"/>
      <c r="D65" s="1"/>
      <c r="E65" s="1"/>
      <c r="F65" s="1"/>
      <c r="G65" s="1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</row>
    <row r="66" spans="1:18" ht="15.75" customHeight="1">
      <c r="A66" s="117"/>
      <c r="B66" s="1"/>
      <c r="C66" s="53"/>
      <c r="D66" s="1"/>
      <c r="E66" s="1"/>
      <c r="F66" s="1"/>
      <c r="G66" s="1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</row>
    <row r="67" spans="1:18" ht="15.75" customHeight="1">
      <c r="A67" s="117"/>
      <c r="B67" s="171"/>
      <c r="C67" s="120"/>
      <c r="D67" s="120"/>
      <c r="E67" s="1"/>
      <c r="F67" s="1"/>
      <c r="G67" s="1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</row>
    <row r="68" spans="1:18" ht="15.75" customHeight="1">
      <c r="A68" s="117"/>
      <c r="B68" s="172" t="s">
        <v>81</v>
      </c>
      <c r="C68" s="129"/>
      <c r="D68" s="129"/>
      <c r="E68" s="1"/>
      <c r="F68" s="1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</row>
    <row r="69" spans="1:18" ht="15.75" customHeight="1">
      <c r="A69" s="117"/>
      <c r="B69" s="1"/>
      <c r="C69" s="1"/>
      <c r="D69" s="1"/>
      <c r="E69" s="1"/>
      <c r="F69" s="1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</row>
    <row r="70" spans="1:18" ht="15.75" customHeight="1">
      <c r="A70" s="117"/>
      <c r="B70" s="1"/>
      <c r="C70" s="1"/>
      <c r="D70" s="1"/>
      <c r="E70" s="1"/>
      <c r="F70" s="1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</row>
    <row r="71" spans="1:18" ht="15.75" customHeight="1">
      <c r="A71" s="117"/>
      <c r="B71" s="171"/>
      <c r="C71" s="120"/>
      <c r="D71" s="120"/>
      <c r="E71" s="1"/>
      <c r="F71" s="1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</row>
    <row r="72" spans="1:18" ht="15.75" customHeight="1">
      <c r="A72" s="117"/>
      <c r="B72" s="172" t="s">
        <v>82</v>
      </c>
      <c r="C72" s="129"/>
      <c r="D72" s="129"/>
      <c r="E72" s="1"/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</row>
    <row r="73" spans="1:18" ht="15.75" customHeight="1">
      <c r="A73" s="117"/>
      <c r="B73" s="1"/>
      <c r="C73" s="53"/>
      <c r="D73" s="53"/>
      <c r="E73" s="53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</row>
    <row r="74" spans="1:18" ht="15.75" customHeight="1">
      <c r="A74" s="117"/>
      <c r="B74" s="1"/>
      <c r="C74" s="53"/>
      <c r="D74" s="53"/>
      <c r="E74" s="53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</row>
    <row r="75" spans="1:18" ht="15.75" customHeight="1">
      <c r="A75" s="117"/>
      <c r="B75" s="1"/>
      <c r="C75" s="53"/>
      <c r="D75" s="53"/>
      <c r="E75" s="53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</row>
    <row r="76" spans="1:18" ht="15.75" customHeight="1">
      <c r="A76" s="117"/>
      <c r="B76" s="1"/>
      <c r="C76" s="53"/>
      <c r="D76" s="53"/>
      <c r="E76" s="53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</row>
    <row r="77" spans="1:18" ht="15.75" customHeight="1">
      <c r="A77" s="117"/>
      <c r="B77" s="1"/>
      <c r="C77" s="53"/>
      <c r="D77" s="53"/>
      <c r="E77" s="53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</row>
    <row r="78" spans="1:18" ht="15.75" customHeight="1">
      <c r="A78" s="117"/>
      <c r="B78" s="1"/>
      <c r="C78" s="53"/>
      <c r="D78" s="53"/>
      <c r="E78" s="53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</row>
    <row r="79" spans="1:18" ht="15.75" customHeight="1">
      <c r="A79" s="117"/>
      <c r="B79" s="1"/>
      <c r="C79" s="53"/>
      <c r="D79" s="53"/>
      <c r="E79" s="53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</row>
    <row r="80" spans="1:18" ht="15.75" customHeight="1">
      <c r="A80" s="117"/>
      <c r="B80" s="1"/>
      <c r="C80" s="53"/>
      <c r="D80" s="53"/>
      <c r="E80" s="53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</row>
    <row r="81" spans="1:18" ht="15.75" customHeight="1">
      <c r="A81" s="117"/>
      <c r="B81" s="1"/>
      <c r="C81" s="53"/>
      <c r="D81" s="53"/>
      <c r="E81" s="53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</row>
    <row r="82" spans="1:18" ht="15.75" customHeight="1">
      <c r="A82" s="117"/>
      <c r="B82" s="1"/>
      <c r="C82" s="53"/>
      <c r="D82" s="53"/>
      <c r="E82" s="53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</row>
    <row r="83" spans="1:18" ht="15.75" customHeight="1">
      <c r="A83" s="117"/>
      <c r="B83" s="1"/>
      <c r="C83" s="53"/>
      <c r="D83" s="53"/>
      <c r="E83" s="53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</row>
    <row r="84" spans="1:18" ht="15.75" customHeight="1">
      <c r="A84" s="117"/>
      <c r="B84" s="1"/>
      <c r="C84" s="53"/>
      <c r="D84" s="53"/>
      <c r="E84" s="53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</row>
    <row r="85" spans="1:18" ht="15.75" customHeight="1"/>
    <row r="86" spans="1:18" ht="15.75" customHeight="1"/>
    <row r="87" spans="1:18" ht="15.75" customHeight="1"/>
    <row r="88" spans="1:18" ht="15.75" customHeight="1"/>
    <row r="89" spans="1:18" ht="15.75" customHeight="1"/>
    <row r="90" spans="1:18" ht="15.75" customHeight="1"/>
    <row r="91" spans="1:18" ht="15.75" customHeight="1"/>
    <row r="92" spans="1:18" ht="15.75" customHeight="1"/>
    <row r="93" spans="1:18" ht="15.75" customHeight="1"/>
    <row r="94" spans="1:18" ht="15.75" customHeight="1"/>
    <row r="95" spans="1:18" ht="15.75" customHeight="1"/>
    <row r="96" spans="1:18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</sheetData>
  <mergeCells count="59">
    <mergeCell ref="A25:A37"/>
    <mergeCell ref="A18:A23"/>
    <mergeCell ref="B63:C63"/>
    <mergeCell ref="B17:Q17"/>
    <mergeCell ref="B24:Q24"/>
    <mergeCell ref="B38:Q38"/>
    <mergeCell ref="D37:F37"/>
    <mergeCell ref="D56:F56"/>
    <mergeCell ref="B37:C37"/>
    <mergeCell ref="B23:C23"/>
    <mergeCell ref="A59:A63"/>
    <mergeCell ref="D16:F16"/>
    <mergeCell ref="D23:F23"/>
    <mergeCell ref="C7:Q7"/>
    <mergeCell ref="B10:Q10"/>
    <mergeCell ref="J8:J9"/>
    <mergeCell ref="M8:Q8"/>
    <mergeCell ref="K8:L8"/>
    <mergeCell ref="D8:D9"/>
    <mergeCell ref="E8:E9"/>
    <mergeCell ref="C8:C9"/>
    <mergeCell ref="H8:H9"/>
    <mergeCell ref="I8:I9"/>
    <mergeCell ref="G8:G9"/>
    <mergeCell ref="B16:C16"/>
    <mergeCell ref="A8:A9"/>
    <mergeCell ref="A11:A15"/>
    <mergeCell ref="B8:B9"/>
    <mergeCell ref="F8:F9"/>
    <mergeCell ref="A7:B7"/>
    <mergeCell ref="P1:Q1"/>
    <mergeCell ref="P2:Q2"/>
    <mergeCell ref="P3:Q3"/>
    <mergeCell ref="A1:B3"/>
    <mergeCell ref="K5:Q5"/>
    <mergeCell ref="A4:Q4"/>
    <mergeCell ref="C1:O2"/>
    <mergeCell ref="C3:O3"/>
    <mergeCell ref="K6:Q6"/>
    <mergeCell ref="A5:B5"/>
    <mergeCell ref="C5:E5"/>
    <mergeCell ref="G5:H5"/>
    <mergeCell ref="I5:J5"/>
    <mergeCell ref="I6:J6"/>
    <mergeCell ref="C6:E6"/>
    <mergeCell ref="G6:H6"/>
    <mergeCell ref="A6:B6"/>
    <mergeCell ref="B72:D72"/>
    <mergeCell ref="B71:D71"/>
    <mergeCell ref="A49:A56"/>
    <mergeCell ref="A39:A47"/>
    <mergeCell ref="B47:C47"/>
    <mergeCell ref="B67:D67"/>
    <mergeCell ref="B68:D68"/>
    <mergeCell ref="B48:Q48"/>
    <mergeCell ref="D47:F47"/>
    <mergeCell ref="D63:F63"/>
    <mergeCell ref="B56:C56"/>
    <mergeCell ref="B57:Q57"/>
  </mergeCells>
  <conditionalFormatting sqref="F11:F15 F49:F55 F18:F22 F25:F36">
    <cfRule type="containsText" dxfId="50" priority="1" operator="containsText" text="&quot;Intervenir inmediatamente, el estándar no ha sido apropiado por el área.&quot;">
      <formula>NOT(ISERROR(SEARCH(("""Intervenir inmediatamente, el estándar no ha sido apropiado por el área."""),(F11))))</formula>
    </cfRule>
  </conditionalFormatting>
  <conditionalFormatting sqref="F11:F15 F49:F55 F18:F22 F25:F36">
    <cfRule type="containsText" dxfId="49" priority="2" operator="containsText" text="&quot;Continuar con el proceso de manera integral.&quot;">
      <formula>NOT(ISERROR(SEARCH(("""Continuar con el proceso de manera integral."""),(F11))))</formula>
    </cfRule>
  </conditionalFormatting>
  <conditionalFormatting sqref="F11:F15 F49:F55 F18:F22 F25:F36">
    <cfRule type="containsText" dxfId="48" priority="3" operator="containsText" text="&quot;Se presenta oportunidad de mejora.&quot;">
      <formula>NOT(ISERROR(SEARCH(("""Se presenta oportunidad de mejora."""),(F11))))</formula>
    </cfRule>
  </conditionalFormatting>
  <conditionalFormatting sqref="E18:E22 E25:E36 E49:E55">
    <cfRule type="containsText" dxfId="47" priority="4" operator="containsText" text="&quot;Aceptable&quot;">
      <formula>NOT(ISERROR(SEARCH(("""Aceptable"""),(E18))))</formula>
    </cfRule>
  </conditionalFormatting>
  <conditionalFormatting sqref="E18:E22 E25:E36 E49:E55">
    <cfRule type="containsText" dxfId="46" priority="5" operator="containsText" text="&quot;Importante&quot;">
      <formula>NOT(ISERROR(SEARCH(("""Importante"""),(E18))))</formula>
    </cfRule>
  </conditionalFormatting>
  <conditionalFormatting sqref="E18:E22 E25:E36 E49:E55">
    <cfRule type="containsText" dxfId="45" priority="6" operator="containsText" text="&quot;Inaceptable&quot;">
      <formula>NOT(ISERROR(SEARCH(("""Inaceptable"""),(E18))))</formula>
    </cfRule>
  </conditionalFormatting>
  <conditionalFormatting sqref="P11:P15 P49:P55 P18:P22 P25:P36">
    <cfRule type="containsText" dxfId="44" priority="7" operator="containsText" text="&quot;En proceso&quot;">
      <formula>NOT(ISERROR(SEARCH(("""En proceso"""),(P11))))</formula>
    </cfRule>
  </conditionalFormatting>
  <conditionalFormatting sqref="P11:P15 P49:P55 P18:P22 P25:P36">
    <cfRule type="containsText" dxfId="43" priority="8" operator="containsText" text="&quot;Sin ejecutar&quot;">
      <formula>NOT(ISERROR(SEARCH(("""Sin ejecutar"""),(P11))))</formula>
    </cfRule>
  </conditionalFormatting>
  <conditionalFormatting sqref="P11:P15 P49:P55 P18:P22 P25:P36">
    <cfRule type="containsText" dxfId="42" priority="9" operator="containsText" text="&quot;Ejecutado&quot;">
      <formula>NOT(ISERROR(SEARCH(("""Ejecutado"""),(P11))))</formula>
    </cfRule>
  </conditionalFormatting>
  <conditionalFormatting sqref="E11:E15">
    <cfRule type="containsText" dxfId="41" priority="10" operator="containsText" text="&quot;Inaceptable&quot;">
      <formula>NOT(ISERROR(SEARCH(("""Inaceptable"""),(E11))))</formula>
    </cfRule>
  </conditionalFormatting>
  <conditionalFormatting sqref="E11:E15">
    <cfRule type="containsText" dxfId="40" priority="11" operator="containsText" text="&quot;Importante&quot;">
      <formula>NOT(ISERROR(SEARCH(("""Importante"""),(E11))))</formula>
    </cfRule>
  </conditionalFormatting>
  <conditionalFormatting sqref="E11:E15">
    <cfRule type="containsText" dxfId="39" priority="12" operator="containsText" text="&quot;Aceptable&quot;">
      <formula>NOT(ISERROR(SEARCH(("""Aceptable"""),(E11))))</formula>
    </cfRule>
  </conditionalFormatting>
  <conditionalFormatting sqref="P39:P46">
    <cfRule type="containsText" dxfId="38" priority="16" operator="containsText" text="&quot;En proceso&quot;">
      <formula>NOT(ISERROR(SEARCH(("""En proceso"""),(P39))))</formula>
    </cfRule>
  </conditionalFormatting>
  <conditionalFormatting sqref="P39:P46">
    <cfRule type="containsText" dxfId="37" priority="17" operator="containsText" text="&quot;Sin ejecutar&quot;">
      <formula>NOT(ISERROR(SEARCH(("""Sin ejecutar"""),(P39))))</formula>
    </cfRule>
  </conditionalFormatting>
  <conditionalFormatting sqref="P39:P46">
    <cfRule type="containsText" dxfId="36" priority="18" operator="containsText" text="&quot;Ejecutado&quot;">
      <formula>NOT(ISERROR(SEARCH(("""Ejecutado"""),(P39))))</formula>
    </cfRule>
  </conditionalFormatting>
  <conditionalFormatting sqref="P59:P62">
    <cfRule type="containsText" dxfId="35" priority="22" operator="containsText" text="&quot;En proceso&quot;">
      <formula>NOT(ISERROR(SEARCH(("""En proceso"""),(P59))))</formula>
    </cfRule>
  </conditionalFormatting>
  <conditionalFormatting sqref="P59:P62">
    <cfRule type="containsText" dxfId="34" priority="23" operator="containsText" text="&quot;Sin ejecutar&quot;">
      <formula>NOT(ISERROR(SEARCH(("""Sin ejecutar"""),(P59))))</formula>
    </cfRule>
  </conditionalFormatting>
  <conditionalFormatting sqref="P59:P62">
    <cfRule type="containsText" dxfId="33" priority="24" operator="containsText" text="&quot;Ejecutado&quot;">
      <formula>NOT(ISERROR(SEARCH(("""Ejecutado"""),(P59))))</formula>
    </cfRule>
  </conditionalFormatting>
  <conditionalFormatting sqref="F39:F46 F59:F62">
    <cfRule type="containsText" dxfId="32" priority="25" operator="containsText" text="&quot;Intervenir inmediatamente, el estándar no ha sido apropiado por el área.&quot;">
      <formula>NOT(ISERROR(SEARCH(("""Intervenir inmediatamente, el estándar no ha sido apropiado por el área."""),(F39))))</formula>
    </cfRule>
  </conditionalFormatting>
  <conditionalFormatting sqref="F39:F46 F59:F62">
    <cfRule type="containsText" dxfId="31" priority="26" operator="containsText" text="&quot;Continuar con el proceso de manera integral.&quot;">
      <formula>NOT(ISERROR(SEARCH(("""Continuar con el proceso de manera integral."""),(F39))))</formula>
    </cfRule>
  </conditionalFormatting>
  <conditionalFormatting sqref="F39:F46 F59:F62">
    <cfRule type="containsText" dxfId="30" priority="27" operator="containsText" text="&quot;Se presenta oportunidad de mejora.&quot;">
      <formula>NOT(ISERROR(SEARCH(("""Se presenta oportunidad de mejora."""),(F39))))</formula>
    </cfRule>
  </conditionalFormatting>
  <conditionalFormatting sqref="D11:D15 D18:D22 D25:D36 D49:D55">
    <cfRule type="cellIs" dxfId="29" priority="28" operator="equal">
      <formula>1</formula>
    </cfRule>
  </conditionalFormatting>
  <conditionalFormatting sqref="D11:D15 D18:D22 D25:D36 D49:D55">
    <cfRule type="cellIs" dxfId="28" priority="29" operator="equal">
      <formula>3</formula>
    </cfRule>
  </conditionalFormatting>
  <conditionalFormatting sqref="D11:D15 D18:D22 D25:D36 D49:D55">
    <cfRule type="cellIs" dxfId="27" priority="30" operator="equal">
      <formula>5</formula>
    </cfRule>
  </conditionalFormatting>
  <conditionalFormatting sqref="E11:E15 E18:E22 E25:E36 E49:E55">
    <cfRule type="cellIs" dxfId="26" priority="31" operator="equal">
      <formula>"Aceptable"</formula>
    </cfRule>
  </conditionalFormatting>
  <conditionalFormatting sqref="E11:E15 E18:E22 E25:E36 E49:E55">
    <cfRule type="containsText" dxfId="25" priority="32" operator="containsText" text="Importante">
      <formula>NOT(ISERROR(SEARCH(("Importante"),(E11))))</formula>
    </cfRule>
  </conditionalFormatting>
  <conditionalFormatting sqref="E11:E15 E18:E22 E25:E36 E49:E55">
    <cfRule type="containsText" dxfId="24" priority="33" operator="containsText" text="Inaceptable">
      <formula>NOT(ISERROR(SEARCH(("Inaceptable"),(E11))))</formula>
    </cfRule>
  </conditionalFormatting>
  <conditionalFormatting sqref="E39:E46">
    <cfRule type="containsText" dxfId="23" priority="43" operator="containsText" text="&quot;Inaceptable&quot;">
      <formula>NOT(ISERROR(SEARCH(("""Inaceptable"""),(E39))))</formula>
    </cfRule>
  </conditionalFormatting>
  <conditionalFormatting sqref="E39:E46">
    <cfRule type="containsText" dxfId="22" priority="44" operator="containsText" text="&quot;Importante&quot;">
      <formula>NOT(ISERROR(SEARCH(("""Importante"""),(E39))))</formula>
    </cfRule>
  </conditionalFormatting>
  <conditionalFormatting sqref="E39:E46">
    <cfRule type="containsText" dxfId="21" priority="45" operator="containsText" text="&quot;Aceptable&quot;">
      <formula>NOT(ISERROR(SEARCH(("""Aceptable"""),(E39))))</formula>
    </cfRule>
  </conditionalFormatting>
  <conditionalFormatting sqref="D39:D46 D59:D62">
    <cfRule type="cellIs" dxfId="20" priority="46" operator="equal">
      <formula>1</formula>
    </cfRule>
  </conditionalFormatting>
  <conditionalFormatting sqref="D39:D46 D59:D62">
    <cfRule type="cellIs" dxfId="19" priority="47" operator="equal">
      <formula>3</formula>
    </cfRule>
  </conditionalFormatting>
  <conditionalFormatting sqref="D39:D46 D59:D62">
    <cfRule type="cellIs" dxfId="18" priority="48" operator="equal">
      <formula>5</formula>
    </cfRule>
  </conditionalFormatting>
  <conditionalFormatting sqref="E39:E46">
    <cfRule type="cellIs" dxfId="17" priority="49" operator="equal">
      <formula>"Aceptable"</formula>
    </cfRule>
  </conditionalFormatting>
  <conditionalFormatting sqref="E39:E46">
    <cfRule type="containsText" dxfId="16" priority="50" operator="containsText" text="Importante">
      <formula>NOT(ISERROR(SEARCH(("Importante"),(E39))))</formula>
    </cfRule>
  </conditionalFormatting>
  <conditionalFormatting sqref="E39:E46">
    <cfRule type="containsText" dxfId="15" priority="51" operator="containsText" text="Inaceptable">
      <formula>NOT(ISERROR(SEARCH(("Inaceptable"),(E39))))</formula>
    </cfRule>
  </conditionalFormatting>
  <conditionalFormatting sqref="P58">
    <cfRule type="containsText" dxfId="14" priority="70" operator="containsText" text="&quot;En proceso&quot;">
      <formula>NOT(ISERROR(SEARCH(("""En proceso"""),(P58))))</formula>
    </cfRule>
  </conditionalFormatting>
  <conditionalFormatting sqref="P58">
    <cfRule type="containsText" dxfId="13" priority="71" operator="containsText" text="&quot;Sin ejecutar&quot;">
      <formula>NOT(ISERROR(SEARCH(("""Sin ejecutar"""),(P58))))</formula>
    </cfRule>
  </conditionalFormatting>
  <conditionalFormatting sqref="P58">
    <cfRule type="containsText" dxfId="12" priority="72" operator="containsText" text="&quot;Ejecutado&quot;">
      <formula>NOT(ISERROR(SEARCH(("""Ejecutado"""),(P58))))</formula>
    </cfRule>
  </conditionalFormatting>
  <conditionalFormatting sqref="F58">
    <cfRule type="containsText" dxfId="11" priority="73" operator="containsText" text="&quot;Intervenir inmediatamente, el estándar no ha sido apropiado por el área.&quot;">
      <formula>NOT(ISERROR(SEARCH(("""Intervenir inmediatamente, el estándar no ha sido apropiado por el área."""),(F58))))</formula>
    </cfRule>
  </conditionalFormatting>
  <conditionalFormatting sqref="F58">
    <cfRule type="containsText" dxfId="10" priority="74" operator="containsText" text="&quot;Continuar con el proceso de manera integral.&quot;">
      <formula>NOT(ISERROR(SEARCH(("""Continuar con el proceso de manera integral."""),(F58))))</formula>
    </cfRule>
  </conditionalFormatting>
  <conditionalFormatting sqref="F58">
    <cfRule type="containsText" dxfId="9" priority="75" operator="containsText" text="&quot;Se presenta oportunidad de mejora.&quot;">
      <formula>NOT(ISERROR(SEARCH(("""Se presenta oportunidad de mejora."""),(F58))))</formula>
    </cfRule>
  </conditionalFormatting>
  <conditionalFormatting sqref="E58:E62">
    <cfRule type="containsText" dxfId="8" priority="76" operator="containsText" text="&quot;Inaceptable&quot;">
      <formula>NOT(ISERROR(SEARCH(("""Inaceptable"""),(E58))))</formula>
    </cfRule>
  </conditionalFormatting>
  <conditionalFormatting sqref="E58:E62">
    <cfRule type="containsText" dxfId="7" priority="77" operator="containsText" text="&quot;Importante&quot;">
      <formula>NOT(ISERROR(SEARCH(("""Importante"""),(E58))))</formula>
    </cfRule>
  </conditionalFormatting>
  <conditionalFormatting sqref="E58:E62">
    <cfRule type="containsText" dxfId="6" priority="78" operator="containsText" text="&quot;Aceptable&quot;">
      <formula>NOT(ISERROR(SEARCH(("""Aceptable"""),(E58))))</formula>
    </cfRule>
  </conditionalFormatting>
  <conditionalFormatting sqref="D58">
    <cfRule type="cellIs" dxfId="5" priority="79" operator="equal">
      <formula>1</formula>
    </cfRule>
  </conditionalFormatting>
  <conditionalFormatting sqref="D58">
    <cfRule type="cellIs" dxfId="4" priority="80" operator="equal">
      <formula>3</formula>
    </cfRule>
  </conditionalFormatting>
  <conditionalFormatting sqref="D58">
    <cfRule type="cellIs" dxfId="3" priority="81" operator="equal">
      <formula>5</formula>
    </cfRule>
  </conditionalFormatting>
  <conditionalFormatting sqref="E58:E62">
    <cfRule type="cellIs" dxfId="2" priority="82" operator="equal">
      <formula>"Aceptable"</formula>
    </cfRule>
  </conditionalFormatting>
  <conditionalFormatting sqref="E58:E62">
    <cfRule type="containsText" dxfId="1" priority="83" operator="containsText" text="Importante">
      <formula>NOT(ISERROR(SEARCH(("Importante"),(E58))))</formula>
    </cfRule>
  </conditionalFormatting>
  <conditionalFormatting sqref="E58:E62">
    <cfRule type="containsText" dxfId="0" priority="84" operator="containsText" text="Inaceptable">
      <formula>NOT(ISERROR(SEARCH(("Inaceptable"),(E58))))</formula>
    </cfRule>
  </conditionalFormatting>
  <dataValidations count="2">
    <dataValidation type="list" allowBlank="1" showInputMessage="1" showErrorMessage="1" prompt=" - " sqref="D39:D46 D49:D55 D18:D22 D25:D36 D11:D15 D58:D62" xr:uid="{00000000-0002-0000-0000-000000000000}">
      <formula1>Calificacion</formula1>
    </dataValidation>
    <dataValidation type="list" allowBlank="1" showInputMessage="1" showErrorMessage="1" prompt=" - " sqref="P39:P46 P58:P62 P11:P15 P49:P55 P18:P22 P25:P36" xr:uid="{00000000-0002-0000-0000-000001000000}">
      <formula1>Seguimiento</formula1>
    </dataValidation>
  </dataValidations>
  <pageMargins left="0.7" right="0.7" top="0.75" bottom="0.75" header="0" footer="0"/>
  <pageSetup orientation="landscape" r:id="rId1"/>
  <rowBreaks count="3" manualBreakCount="3">
    <brk id="16" man="1"/>
    <brk id="37" man="1"/>
    <brk id="2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97"/>
  <sheetViews>
    <sheetView showGridLines="0" view="pageBreakPreview" zoomScale="80" zoomScaleNormal="80" zoomScaleSheetLayoutView="80" workbookViewId="0">
      <selection activeCell="N1" sqref="N1:P1"/>
    </sheetView>
  </sheetViews>
  <sheetFormatPr defaultColWidth="14.42578125" defaultRowHeight="15" customHeight="1"/>
  <cols>
    <col min="1" max="1" width="36.42578125" customWidth="1"/>
    <col min="2" max="2" width="10.5703125" hidden="1" customWidth="1"/>
    <col min="3" max="11" width="11.5703125" customWidth="1"/>
    <col min="12" max="15" width="12.5703125" customWidth="1"/>
    <col min="16" max="16" width="8.42578125" customWidth="1"/>
    <col min="17" max="21" width="12.5703125" customWidth="1"/>
  </cols>
  <sheetData>
    <row r="1" spans="1:16" ht="21.75" customHeight="1">
      <c r="A1" s="109"/>
      <c r="B1" s="54"/>
      <c r="C1" s="105" t="s">
        <v>83</v>
      </c>
      <c r="D1" s="105"/>
      <c r="E1" s="105"/>
      <c r="F1" s="105"/>
      <c r="G1" s="105"/>
      <c r="H1" s="105"/>
      <c r="I1" s="105"/>
      <c r="J1" s="105"/>
      <c r="K1" s="105"/>
      <c r="L1" s="105"/>
      <c r="M1" s="106"/>
      <c r="N1" s="111" t="s">
        <v>84</v>
      </c>
      <c r="O1" s="112"/>
      <c r="P1" s="112"/>
    </row>
    <row r="2" spans="1:16" ht="21.75" customHeight="1">
      <c r="A2" s="110"/>
      <c r="B2" s="55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8"/>
      <c r="N2" s="113" t="s">
        <v>85</v>
      </c>
      <c r="O2" s="114"/>
      <c r="P2" s="114"/>
    </row>
    <row r="3" spans="1:16" ht="21.75" customHeight="1">
      <c r="A3" s="110"/>
      <c r="B3" s="55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8"/>
      <c r="N3" s="115" t="s">
        <v>86</v>
      </c>
      <c r="O3" s="116"/>
      <c r="P3" s="116"/>
    </row>
    <row r="4" spans="1:16" ht="12.75" customHeight="1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29"/>
      <c r="M4" s="29"/>
      <c r="N4" s="29"/>
      <c r="O4" s="29"/>
      <c r="P4" s="30"/>
    </row>
    <row r="5" spans="1:16" ht="24" customHeight="1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3"/>
      <c r="M5" s="33"/>
      <c r="N5" s="33"/>
      <c r="O5" s="33"/>
      <c r="P5" s="34"/>
    </row>
    <row r="6" spans="1:16" ht="36" customHeight="1">
      <c r="A6" s="35" t="str">
        <f>'Lista de inspección'!C8</f>
        <v>PARAMETRO A EVALUAR</v>
      </c>
      <c r="B6" s="17">
        <v>1</v>
      </c>
      <c r="C6" s="18" t="s">
        <v>38</v>
      </c>
      <c r="D6" s="32"/>
      <c r="E6" s="32"/>
      <c r="F6" s="32"/>
      <c r="G6" s="32"/>
      <c r="H6" s="32"/>
      <c r="I6" s="32"/>
      <c r="J6" s="32"/>
      <c r="K6" s="32"/>
      <c r="L6" s="33"/>
      <c r="M6" s="33"/>
      <c r="N6" s="33"/>
      <c r="O6" s="33"/>
      <c r="P6" s="34"/>
    </row>
    <row r="7" spans="1:16">
      <c r="A7" s="36" t="s">
        <v>87</v>
      </c>
      <c r="B7" s="19"/>
      <c r="C7" s="19" t="e">
        <f>'Lista de inspección'!D16</f>
        <v>#DIV/0!</v>
      </c>
      <c r="D7" s="32"/>
      <c r="E7" s="32"/>
      <c r="F7" s="32"/>
      <c r="G7" s="32"/>
      <c r="H7" s="32"/>
      <c r="I7" s="32"/>
      <c r="J7" s="32"/>
      <c r="K7" s="32"/>
      <c r="L7" s="33"/>
      <c r="M7" s="33"/>
      <c r="N7" s="33"/>
      <c r="O7" s="33"/>
      <c r="P7" s="34"/>
    </row>
    <row r="8" spans="1:16">
      <c r="A8" s="37" t="s">
        <v>88</v>
      </c>
      <c r="B8" s="20"/>
      <c r="C8" s="20" t="e">
        <f>'Lista de inspección'!D23</f>
        <v>#DIV/0!</v>
      </c>
      <c r="D8" s="32"/>
      <c r="E8" s="32"/>
      <c r="F8" s="32"/>
      <c r="G8" s="32"/>
      <c r="H8" s="32"/>
      <c r="I8" s="32"/>
      <c r="J8" s="32"/>
      <c r="K8" s="32"/>
      <c r="L8" s="33"/>
      <c r="M8" s="33"/>
      <c r="N8" s="33"/>
      <c r="O8" s="33"/>
      <c r="P8" s="34"/>
    </row>
    <row r="9" spans="1:16">
      <c r="A9" s="38" t="s">
        <v>89</v>
      </c>
      <c r="B9" s="21"/>
      <c r="C9" s="21" t="e">
        <f>'Lista de inspección'!D37</f>
        <v>#DIV/0!</v>
      </c>
      <c r="D9" s="32"/>
      <c r="E9" s="32"/>
      <c r="F9" s="32"/>
      <c r="G9" s="32"/>
      <c r="H9" s="32"/>
      <c r="I9" s="32"/>
      <c r="J9" s="32"/>
      <c r="K9" s="32"/>
      <c r="L9" s="33"/>
      <c r="M9" s="33"/>
      <c r="N9" s="33"/>
      <c r="O9" s="33"/>
      <c r="P9" s="34"/>
    </row>
    <row r="10" spans="1:16">
      <c r="A10" s="39" t="s">
        <v>90</v>
      </c>
      <c r="B10" s="22"/>
      <c r="C10" s="22" t="e">
        <f>'Lista de inspección'!D47</f>
        <v>#DIV/0!</v>
      </c>
      <c r="D10" s="40"/>
      <c r="E10" s="32"/>
      <c r="F10" s="32"/>
      <c r="G10" s="32"/>
      <c r="H10" s="32"/>
      <c r="I10" s="32"/>
      <c r="J10" s="32"/>
      <c r="K10" s="32"/>
      <c r="L10" s="33"/>
      <c r="M10" s="33"/>
      <c r="N10" s="33"/>
      <c r="O10" s="33"/>
      <c r="P10" s="34"/>
    </row>
    <row r="11" spans="1:16">
      <c r="A11" s="41" t="s">
        <v>91</v>
      </c>
      <c r="B11" s="23"/>
      <c r="C11" s="23" t="e">
        <f>'Lista de inspección'!D56</f>
        <v>#DIV/0!</v>
      </c>
      <c r="D11" s="40"/>
      <c r="E11" s="32"/>
      <c r="F11" s="32"/>
      <c r="G11" s="32"/>
      <c r="H11" s="32"/>
      <c r="I11" s="32"/>
      <c r="J11" s="32"/>
      <c r="K11" s="32"/>
      <c r="L11" s="33"/>
      <c r="M11" s="33"/>
      <c r="N11" s="33"/>
      <c r="O11" s="33"/>
      <c r="P11" s="34"/>
    </row>
    <row r="12" spans="1:16">
      <c r="A12" s="42" t="s">
        <v>92</v>
      </c>
      <c r="B12" s="24"/>
      <c r="C12" s="24" t="e">
        <f>'Lista de inspección'!D63</f>
        <v>#DIV/0!</v>
      </c>
      <c r="D12" s="40"/>
      <c r="E12" s="32"/>
      <c r="F12" s="32"/>
      <c r="G12" s="32"/>
      <c r="H12" s="32"/>
      <c r="I12" s="32"/>
      <c r="J12" s="32"/>
      <c r="K12" s="32"/>
      <c r="L12" s="33"/>
      <c r="M12" s="33"/>
      <c r="N12" s="33"/>
      <c r="O12" s="33"/>
      <c r="P12" s="34"/>
    </row>
    <row r="13" spans="1:16" ht="12.75" customHeight="1">
      <c r="A13" s="31"/>
      <c r="B13" s="32"/>
      <c r="C13" s="43"/>
      <c r="D13" s="32"/>
      <c r="E13" s="32"/>
      <c r="F13" s="32"/>
      <c r="G13" s="32"/>
      <c r="H13" s="32"/>
      <c r="I13" s="32"/>
      <c r="J13" s="32"/>
      <c r="K13" s="32"/>
      <c r="L13" s="33"/>
      <c r="M13" s="33"/>
      <c r="N13" s="33"/>
      <c r="O13" s="33"/>
      <c r="P13" s="34"/>
    </row>
    <row r="14" spans="1:16" ht="12.75" customHeight="1">
      <c r="A14" s="31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3"/>
      <c r="M14" s="33"/>
      <c r="N14" s="33"/>
      <c r="O14" s="33"/>
      <c r="P14" s="34"/>
    </row>
    <row r="15" spans="1:16" ht="12.75" customHeight="1">
      <c r="A15" s="31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3"/>
      <c r="M15" s="33"/>
      <c r="N15" s="33"/>
      <c r="O15" s="33"/>
      <c r="P15" s="34"/>
    </row>
    <row r="16" spans="1:16" ht="12.75" customHeight="1">
      <c r="A16" s="31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3"/>
      <c r="M16" s="33"/>
      <c r="N16" s="33"/>
      <c r="O16" s="33"/>
      <c r="P16" s="34"/>
    </row>
    <row r="17" spans="1:16" ht="12.75" customHeight="1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3"/>
      <c r="M17" s="33"/>
      <c r="N17" s="33"/>
      <c r="O17" s="33"/>
      <c r="P17" s="34"/>
    </row>
    <row r="18" spans="1:16" ht="39.75" customHeight="1">
      <c r="A18" s="31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33"/>
      <c r="N18" s="33"/>
      <c r="O18" s="33"/>
      <c r="P18" s="34"/>
    </row>
    <row r="19" spans="1:16" ht="39.75" customHeight="1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3"/>
      <c r="M19" s="33"/>
      <c r="N19" s="33"/>
      <c r="O19" s="33"/>
      <c r="P19" s="34"/>
    </row>
    <row r="20" spans="1:16" ht="12.75" customHeight="1">
      <c r="A20" s="44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6"/>
      <c r="M20" s="46"/>
      <c r="N20" s="46"/>
      <c r="O20" s="46"/>
      <c r="P20" s="47"/>
    </row>
    <row r="21" spans="1:16" ht="12.7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1:16" ht="12.75" customHeight="1">
      <c r="A22" s="13"/>
      <c r="B22" s="13"/>
      <c r="C22" s="13"/>
      <c r="D22" s="13"/>
      <c r="E22" s="72"/>
      <c r="F22" s="13"/>
      <c r="G22" s="13"/>
      <c r="H22" s="13"/>
      <c r="I22" s="13"/>
      <c r="J22" s="13"/>
      <c r="K22" s="13"/>
    </row>
    <row r="23" spans="1:16" ht="12.75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6" ht="12.75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6" ht="12.7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6" ht="12.7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6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6" ht="12.75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1:16" ht="12.75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1:16" ht="12.7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1:16" ht="12.75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1:16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1:11" ht="12.7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1:11" ht="12.75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1" ht="12.75" customHeight="1">
      <c r="A35" s="13"/>
      <c r="B35" s="13"/>
      <c r="C35" s="72"/>
      <c r="D35" s="13"/>
      <c r="E35" s="13"/>
      <c r="F35" s="13"/>
      <c r="G35" s="13"/>
      <c r="H35" s="13"/>
      <c r="I35" s="13"/>
      <c r="J35" s="13"/>
      <c r="K35" s="13"/>
    </row>
    <row r="36" spans="1:11" ht="12.75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1:11" ht="12.75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8" spans="1:11" ht="12.75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</row>
    <row r="39" spans="1:11" ht="12.7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</row>
    <row r="40" spans="1:11" ht="12.75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</row>
    <row r="41" spans="1:11" ht="12.75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</row>
    <row r="42" spans="1:11" ht="12.75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</row>
    <row r="43" spans="1:11" ht="12.7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</row>
    <row r="44" spans="1:11" ht="12.75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</row>
    <row r="45" spans="1:11" ht="12.75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</row>
    <row r="46" spans="1:11" ht="12.75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</row>
    <row r="47" spans="1:11" ht="12.7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</row>
    <row r="48" spans="1:11" ht="12.75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</row>
    <row r="49" spans="1:11" ht="12.75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</row>
    <row r="50" spans="1:11" ht="12.7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</row>
    <row r="51" spans="1:11" ht="12.7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</row>
    <row r="52" spans="1:11" ht="12.75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</row>
    <row r="53" spans="1:11" ht="12.7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</row>
    <row r="54" spans="1:11" ht="12.75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</row>
    <row r="55" spans="1:11" ht="12.75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</row>
    <row r="56" spans="1:11" ht="12.75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</row>
    <row r="57" spans="1:11" ht="12.75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</row>
    <row r="58" spans="1:11" ht="12.75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</row>
    <row r="59" spans="1:11" ht="12.75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</row>
    <row r="60" spans="1:11" ht="12.75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</row>
    <row r="61" spans="1:11" ht="12.75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</row>
    <row r="62" spans="1:11" ht="12.75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</row>
    <row r="63" spans="1:11" ht="12.75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</row>
    <row r="64" spans="1:11" ht="12.75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</row>
    <row r="65" spans="1:11" ht="12.75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</row>
    <row r="66" spans="1:11" ht="12.7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</row>
    <row r="67" spans="1:11" ht="12.7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</row>
    <row r="68" spans="1:11" ht="12.7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</row>
    <row r="69" spans="1:11" ht="12.75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</row>
    <row r="70" spans="1:11" ht="12.7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</row>
    <row r="71" spans="1:11" ht="12.75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</row>
    <row r="72" spans="1:11" ht="12.75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</row>
    <row r="73" spans="1:11" ht="12.75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</row>
    <row r="74" spans="1:11" ht="12.75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</row>
    <row r="75" spans="1:11" ht="12.75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</row>
    <row r="76" spans="1:11" ht="12.75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</row>
    <row r="77" spans="1:11" ht="12.75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</row>
    <row r="78" spans="1:11" ht="12.75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</row>
    <row r="79" spans="1:11" ht="12.7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</row>
    <row r="80" spans="1:11" ht="12.75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</row>
    <row r="81" spans="1:11" ht="12.75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</row>
    <row r="82" spans="1:11" ht="12.75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</row>
    <row r="83" spans="1:11" ht="12.7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</row>
    <row r="84" spans="1:11" ht="12.7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</row>
    <row r="85" spans="1:11" ht="12.75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</row>
    <row r="86" spans="1:11" ht="12.75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</row>
    <row r="87" spans="1:11" ht="12.75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</row>
    <row r="88" spans="1:11" ht="12.7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</row>
    <row r="89" spans="1:11" ht="12.7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</row>
    <row r="90" spans="1:11" ht="12.7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</row>
    <row r="91" spans="1:11" ht="12.7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</row>
    <row r="92" spans="1:11" ht="12.7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</row>
    <row r="93" spans="1:11" ht="12.7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</row>
    <row r="94" spans="1:11" ht="12.7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</row>
    <row r="95" spans="1:11" ht="12.7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</row>
    <row r="96" spans="1:11" ht="12.7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</row>
    <row r="97" spans="1:11" ht="12.7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</row>
    <row r="98" spans="1:11" ht="12.7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</row>
    <row r="99" spans="1:11" ht="15.75" customHeight="1"/>
    <row r="100" spans="1:11" ht="15.75" customHeight="1"/>
    <row r="101" spans="1:11" ht="15.75" customHeight="1"/>
    <row r="102" spans="1:11" ht="15.75" customHeight="1"/>
    <row r="103" spans="1:11" ht="15.75" customHeight="1"/>
    <row r="104" spans="1:11" ht="15.75" customHeight="1"/>
    <row r="105" spans="1:11" ht="15.75" customHeight="1"/>
    <row r="106" spans="1:11" ht="15.75" customHeight="1"/>
    <row r="107" spans="1:11" ht="15.75" customHeight="1"/>
    <row r="108" spans="1:11" ht="15.75" customHeight="1"/>
    <row r="109" spans="1:11" ht="15.75" customHeight="1"/>
    <row r="110" spans="1:11" ht="15.75" customHeight="1"/>
    <row r="111" spans="1:11" ht="15.75" customHeight="1"/>
    <row r="112" spans="1:11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5">
    <mergeCell ref="C1:M3"/>
    <mergeCell ref="A1:A3"/>
    <mergeCell ref="N1:P1"/>
    <mergeCell ref="N2:P2"/>
    <mergeCell ref="N3:P3"/>
  </mergeCells>
  <pageMargins left="0.7" right="0.7" top="0.75" bottom="0.75" header="0" footer="0"/>
  <pageSetup scale="6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00"/>
  <sheetViews>
    <sheetView workbookViewId="0"/>
  </sheetViews>
  <sheetFormatPr defaultColWidth="14.42578125" defaultRowHeight="15" customHeight="1"/>
  <cols>
    <col min="1" max="6" width="10" customWidth="1"/>
    <col min="7" max="26" width="12.5703125" customWidth="1"/>
  </cols>
  <sheetData>
    <row r="1" spans="1:2" ht="12.75" customHeight="1">
      <c r="A1" s="173" t="s">
        <v>93</v>
      </c>
    </row>
    <row r="2" spans="1:2" ht="12.75" customHeight="1">
      <c r="A2" s="174" t="s">
        <v>94</v>
      </c>
    </row>
    <row r="3" spans="1:2" ht="12.75" customHeight="1">
      <c r="A3" s="175" t="s">
        <v>95</v>
      </c>
    </row>
    <row r="4" spans="1:2" ht="12.75" customHeight="1"/>
    <row r="5" spans="1:2" ht="12.75" customHeight="1">
      <c r="A5" s="173" t="s">
        <v>96</v>
      </c>
    </row>
    <row r="6" spans="1:2" ht="12.75" customHeight="1">
      <c r="A6" s="174" t="s">
        <v>97</v>
      </c>
    </row>
    <row r="7" spans="1:2" ht="12.75" customHeight="1">
      <c r="A7" s="175" t="s">
        <v>98</v>
      </c>
    </row>
    <row r="8" spans="1:2" ht="12.75" customHeight="1"/>
    <row r="9" spans="1:2" ht="12.75" customHeight="1">
      <c r="A9" s="176">
        <v>1</v>
      </c>
      <c r="B9" t="s">
        <v>99</v>
      </c>
    </row>
    <row r="10" spans="1:2" ht="12.75" customHeight="1">
      <c r="A10" s="176">
        <v>3</v>
      </c>
      <c r="B10" t="s">
        <v>100</v>
      </c>
    </row>
    <row r="11" spans="1:2" ht="12.75" customHeight="1">
      <c r="A11" s="176">
        <v>5</v>
      </c>
    </row>
    <row r="12" spans="1:2" ht="12.75" customHeight="1">
      <c r="A12" s="176" t="s">
        <v>101</v>
      </c>
    </row>
    <row r="13" spans="1:2" ht="12.75" customHeight="1"/>
    <row r="14" spans="1:2" ht="12.75" customHeight="1"/>
    <row r="15" spans="1:2" ht="12.75" customHeight="1"/>
    <row r="16" spans="1:2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79D8D6360E7E4A80588D15E9806AD9" ma:contentTypeVersion="14" ma:contentTypeDescription="Crear nuevo documento." ma:contentTypeScope="" ma:versionID="8271aec364ba9bea01e198a7f56ef52e">
  <xsd:schema xmlns:xsd="http://www.w3.org/2001/XMLSchema" xmlns:xs="http://www.w3.org/2001/XMLSchema" xmlns:p="http://schemas.microsoft.com/office/2006/metadata/properties" xmlns:ns2="41f49eca-df07-441d-8fee-cda4afe53885" xmlns:ns3="ebbd3bfa-2822-4dc4-92ec-5df60f066e9f" targetNamespace="http://schemas.microsoft.com/office/2006/metadata/properties" ma:root="true" ma:fieldsID="06b3d9ea9d1a28d3931ab5b80b698d64" ns2:_="" ns3:_="">
    <xsd:import namespace="41f49eca-df07-441d-8fee-cda4afe53885"/>
    <xsd:import namespace="ebbd3bfa-2822-4dc4-92ec-5df60f066e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f49eca-df07-441d-8fee-cda4afe538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fa4c69d-b1f6-4e6d-9b00-6144774bce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d3bfa-2822-4dc4-92ec-5df60f066e9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756fec4-72f7-4607-8419-4daa0fe7a33e}" ma:internalName="TaxCatchAll" ma:showField="CatchAllData" ma:web="ebbd3bfa-2822-4dc4-92ec-5df60f066e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bd3bfa-2822-4dc4-92ec-5df60f066e9f" xsi:nil="true"/>
    <lcf76f155ced4ddcb4097134ff3c332f xmlns="41f49eca-df07-441d-8fee-cda4afe5388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9D199C-00C0-4789-895D-8F5AD96248E5}"/>
</file>

<file path=customXml/itemProps2.xml><?xml version="1.0" encoding="utf-8"?>
<ds:datastoreItem xmlns:ds="http://schemas.openxmlformats.org/officeDocument/2006/customXml" ds:itemID="{76289F94-D18E-41F0-8AF3-EA4028AC0C99}"/>
</file>

<file path=customXml/itemProps3.xml><?xml version="1.0" encoding="utf-8"?>
<ds:datastoreItem xmlns:ds="http://schemas.openxmlformats.org/officeDocument/2006/customXml" ds:itemID="{39209000-CB1F-455F-A468-19F756E304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AMORCITA</dc:creator>
  <cp:keywords/>
  <dc:description/>
  <cp:lastModifiedBy>Carol Stephanny BARRAGAN SOLER</cp:lastModifiedBy>
  <cp:revision/>
  <dcterms:created xsi:type="dcterms:W3CDTF">2019-08-29T15:09:45Z</dcterms:created>
  <dcterms:modified xsi:type="dcterms:W3CDTF">2024-02-13T15:02:20Z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0x010100DC79D8D6360E7E4A80588D15E9806AD9</vt:lpwstr>
  </property>
  <property fmtid="{D5CDD505-2E9C-101B-9397-08002B2CF9AE}" pid="3" name="MediaServiceImageTags">
    <vt:lpwstr/>
  </property>
</Properties>
</file>