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0800" windowHeight="9750"/>
  </bookViews>
  <sheets>
    <sheet name="JULIO" sheetId="1" r:id="rId1"/>
    <sheet name="Hoja1" sheetId="2" r:id="rId2"/>
  </sheets>
  <definedNames>
    <definedName name="_xlnm._FilterDatabase" localSheetId="0" hidden="1">JULIO!$A$12:$Y$152</definedName>
    <definedName name="_xlnm.Print_Area" localSheetId="0">JULIO!$A$1:$W$162</definedName>
    <definedName name="_xlnm.Print_Titles" localSheetId="0">JULIO!$2:$12</definedName>
  </definedNames>
  <calcPr calcId="145621"/>
  <fileRecoveryPr autoRecover="0"/>
</workbook>
</file>

<file path=xl/calcChain.xml><?xml version="1.0" encoding="utf-8"?>
<calcChain xmlns="http://schemas.openxmlformats.org/spreadsheetml/2006/main">
  <c r="S77" i="1" l="1"/>
  <c r="V77" i="1"/>
  <c r="U77" i="1"/>
  <c r="T77" i="1"/>
  <c r="V97" i="1"/>
  <c r="U97" i="1"/>
  <c r="T97" i="1"/>
  <c r="S97" i="1"/>
  <c r="R131" i="1"/>
  <c r="R97" i="1"/>
  <c r="R48" i="1"/>
  <c r="R39" i="1"/>
  <c r="R35" i="1"/>
  <c r="R23" i="1"/>
  <c r="R146" i="1"/>
  <c r="R148" i="1"/>
  <c r="M96" i="1" l="1"/>
  <c r="L131" i="1"/>
  <c r="M65" i="1"/>
  <c r="M123" i="1"/>
  <c r="M132" i="1"/>
  <c r="M93" i="1"/>
  <c r="M115" i="1"/>
  <c r="M109" i="1"/>
  <c r="M101" i="1"/>
  <c r="L86" i="1"/>
  <c r="L88" i="1"/>
  <c r="M41" i="1"/>
  <c r="L40" i="1"/>
  <c r="L41" i="1"/>
  <c r="M84" i="1"/>
  <c r="L80" i="1"/>
  <c r="M40" i="1"/>
  <c r="L103" i="1"/>
  <c r="W151" i="1" l="1"/>
  <c r="P152" i="1" l="1"/>
  <c r="W120" i="1" l="1"/>
  <c r="W85" i="1"/>
  <c r="W62" i="1"/>
  <c r="V114" i="1"/>
  <c r="U114" i="1"/>
  <c r="T114" i="1"/>
  <c r="S114" i="1"/>
  <c r="R114" i="1"/>
  <c r="W73" i="1"/>
  <c r="W66" i="1"/>
  <c r="V64" i="1"/>
  <c r="U64" i="1"/>
  <c r="T64" i="1"/>
  <c r="S64" i="1"/>
  <c r="V92" i="1"/>
  <c r="U92" i="1"/>
  <c r="T92" i="1"/>
  <c r="S92" i="1"/>
  <c r="R92" i="1"/>
  <c r="R77" i="1"/>
  <c r="R64" i="1"/>
  <c r="W125" i="1"/>
  <c r="W126" i="1"/>
  <c r="W128" i="1"/>
  <c r="W124" i="1"/>
  <c r="V122" i="1"/>
  <c r="U122" i="1"/>
  <c r="T122" i="1"/>
  <c r="S122" i="1"/>
  <c r="R122" i="1"/>
  <c r="W102" i="1"/>
  <c r="W104" i="1"/>
  <c r="W105" i="1"/>
  <c r="W106" i="1"/>
  <c r="W107" i="1"/>
  <c r="W108" i="1"/>
  <c r="W110" i="1"/>
  <c r="V100" i="1"/>
  <c r="U100" i="1"/>
  <c r="T100" i="1"/>
  <c r="S100" i="1"/>
  <c r="R100" i="1"/>
  <c r="R111" i="1"/>
  <c r="S111" i="1"/>
  <c r="T111" i="1"/>
  <c r="U111" i="1"/>
  <c r="V111" i="1"/>
  <c r="W83" i="1"/>
  <c r="W99" i="1"/>
  <c r="W90" i="1"/>
  <c r="W91" i="1"/>
  <c r="L62" i="1"/>
  <c r="Q62" i="1"/>
  <c r="L61" i="1"/>
  <c r="Q99" i="1"/>
  <c r="Q97" i="1"/>
  <c r="M15" i="1"/>
  <c r="L15" i="1"/>
  <c r="Q15" i="1"/>
  <c r="K148" i="1"/>
  <c r="M114" i="1"/>
  <c r="M97" i="1"/>
  <c r="L111" i="1"/>
  <c r="L122" i="1"/>
  <c r="M122" i="1"/>
  <c r="Q128" i="1"/>
  <c r="Q126" i="1"/>
  <c r="Q117" i="1"/>
  <c r="M117" i="1"/>
  <c r="L117" i="1"/>
  <c r="Q120" i="1"/>
  <c r="L100" i="1"/>
  <c r="M100" i="1"/>
  <c r="Q106" i="1"/>
  <c r="Q107" i="1"/>
  <c r="Q108" i="1"/>
  <c r="Q109" i="1"/>
  <c r="W109" i="1" s="1"/>
  <c r="Q110" i="1"/>
  <c r="Q104" i="1"/>
  <c r="Q102" i="1"/>
  <c r="M92" i="1"/>
  <c r="L92" i="1"/>
  <c r="Q96" i="1"/>
  <c r="W96" i="1" s="1"/>
  <c r="M77" i="1"/>
  <c r="Q91" i="1"/>
  <c r="Q83" i="1"/>
  <c r="M70" i="1"/>
  <c r="Q66" i="1"/>
  <c r="L64" i="1"/>
  <c r="K64" i="1"/>
  <c r="L76" i="1"/>
  <c r="L69" i="1"/>
  <c r="M129" i="1"/>
  <c r="M60" i="1"/>
  <c r="L132" i="1"/>
  <c r="L123" i="1"/>
  <c r="L119" i="1"/>
  <c r="L90" i="1"/>
  <c r="L82" i="1"/>
  <c r="L78" i="1"/>
  <c r="V148" i="1" l="1"/>
  <c r="U148" i="1"/>
  <c r="T148" i="1"/>
  <c r="S148" i="1"/>
  <c r="Q151" i="1"/>
  <c r="Q148" i="1" l="1"/>
  <c r="M69" i="1"/>
  <c r="M67" i="1" l="1"/>
  <c r="M74" i="1"/>
  <c r="V60" i="1" l="1"/>
  <c r="V48" i="1"/>
  <c r="V43" i="1"/>
  <c r="O122" i="1"/>
  <c r="N122" i="1"/>
  <c r="Q127" i="1"/>
  <c r="V42" i="1" l="1"/>
  <c r="L112" i="1" l="1"/>
  <c r="Q17" i="1"/>
  <c r="Q18" i="1"/>
  <c r="Q19" i="1"/>
  <c r="Q21" i="1"/>
  <c r="Q22" i="1"/>
  <c r="M78" i="1"/>
  <c r="M131" i="1"/>
  <c r="M64" i="1"/>
  <c r="L60" i="1"/>
  <c r="R43" i="1" l="1"/>
  <c r="R117" i="1"/>
  <c r="R16" i="1"/>
  <c r="Q70" i="1"/>
  <c r="W70" i="1" s="1"/>
  <c r="L67" i="1"/>
  <c r="R42" i="1" l="1"/>
  <c r="Q84" i="1" l="1"/>
  <c r="W84" i="1" s="1"/>
  <c r="Q65" i="1"/>
  <c r="L114" i="1"/>
  <c r="M113" i="1"/>
  <c r="Q113" i="1" l="1"/>
  <c r="M111" i="1"/>
  <c r="W65" i="1"/>
  <c r="Q64" i="1"/>
  <c r="Q80" i="1"/>
  <c r="R60" i="1"/>
  <c r="S60" i="1"/>
  <c r="T60" i="1"/>
  <c r="U60" i="1"/>
  <c r="Q61" i="1"/>
  <c r="Q63" i="1"/>
  <c r="W63" i="1" s="1"/>
  <c r="Q68" i="1"/>
  <c r="Q69" i="1"/>
  <c r="Q71" i="1"/>
  <c r="Q72" i="1"/>
  <c r="Q73" i="1"/>
  <c r="Q74" i="1"/>
  <c r="Q75" i="1"/>
  <c r="Q76" i="1"/>
  <c r="Q79" i="1"/>
  <c r="L77" i="1"/>
  <c r="Q78" i="1" l="1"/>
  <c r="Q60" i="1"/>
  <c r="W80" i="1"/>
  <c r="Q67" i="1"/>
  <c r="S129" i="1"/>
  <c r="T129" i="1"/>
  <c r="U129" i="1"/>
  <c r="V129" i="1"/>
  <c r="R129" i="1"/>
  <c r="S131" i="1"/>
  <c r="T131" i="1"/>
  <c r="U131" i="1"/>
  <c r="V131" i="1"/>
  <c r="R142" i="1"/>
  <c r="R141" i="1" s="1"/>
  <c r="S142" i="1"/>
  <c r="S141" i="1" s="1"/>
  <c r="T142" i="1"/>
  <c r="T141" i="1" s="1"/>
  <c r="U142" i="1"/>
  <c r="U141" i="1" s="1"/>
  <c r="V142" i="1"/>
  <c r="V141" i="1" s="1"/>
  <c r="S146" i="1"/>
  <c r="T146" i="1"/>
  <c r="U146" i="1"/>
  <c r="V146" i="1"/>
  <c r="V67" i="1"/>
  <c r="U67" i="1"/>
  <c r="T67" i="1"/>
  <c r="S67" i="1"/>
  <c r="R67" i="1"/>
  <c r="S48" i="1"/>
  <c r="S43" i="1"/>
  <c r="S39" i="1"/>
  <c r="S35" i="1"/>
  <c r="S23" i="1"/>
  <c r="S20" i="1"/>
  <c r="S16" i="1"/>
  <c r="Q116" i="1"/>
  <c r="W116" i="1" s="1"/>
  <c r="Q150" i="1"/>
  <c r="Q149" i="1"/>
  <c r="Q147" i="1"/>
  <c r="W147" i="1" s="1"/>
  <c r="Q144" i="1"/>
  <c r="W144" i="1" s="1"/>
  <c r="Q143" i="1"/>
  <c r="W143" i="1" s="1"/>
  <c r="Q140" i="1"/>
  <c r="W140" i="1" s="1"/>
  <c r="Q137" i="1"/>
  <c r="W137" i="1" s="1"/>
  <c r="Q133" i="1"/>
  <c r="W133" i="1" s="1"/>
  <c r="Q132" i="1"/>
  <c r="W132" i="1" s="1"/>
  <c r="Q130" i="1"/>
  <c r="Q129" i="1" s="1"/>
  <c r="Q125" i="1"/>
  <c r="Q124" i="1"/>
  <c r="Q123" i="1"/>
  <c r="Q122" i="1" s="1"/>
  <c r="Q121" i="1"/>
  <c r="W121" i="1" s="1"/>
  <c r="Q119" i="1"/>
  <c r="W119" i="1" s="1"/>
  <c r="Q118" i="1"/>
  <c r="Q115" i="1"/>
  <c r="W115" i="1" s="1"/>
  <c r="Q112" i="1"/>
  <c r="Q105" i="1"/>
  <c r="Q103" i="1"/>
  <c r="Q101" i="1"/>
  <c r="W101" i="1" s="1"/>
  <c r="Q98" i="1"/>
  <c r="Q95" i="1"/>
  <c r="Q94" i="1"/>
  <c r="Q93" i="1"/>
  <c r="W93" i="1" s="1"/>
  <c r="Q90" i="1"/>
  <c r="Q89" i="1"/>
  <c r="Q88" i="1"/>
  <c r="W88" i="1" s="1"/>
  <c r="Q87" i="1"/>
  <c r="Q86" i="1"/>
  <c r="W86" i="1" s="1"/>
  <c r="Q85" i="1"/>
  <c r="Q82" i="1"/>
  <c r="W82" i="1" s="1"/>
  <c r="Q81" i="1"/>
  <c r="W79" i="1"/>
  <c r="W76" i="1"/>
  <c r="W75" i="1"/>
  <c r="W74" i="1"/>
  <c r="W69" i="1"/>
  <c r="W68" i="1"/>
  <c r="Q58" i="1"/>
  <c r="W58" i="1" s="1"/>
  <c r="Q57" i="1"/>
  <c r="W57" i="1" s="1"/>
  <c r="Q56" i="1"/>
  <c r="W56" i="1" s="1"/>
  <c r="Q52" i="1"/>
  <c r="W52" i="1" s="1"/>
  <c r="Q51" i="1"/>
  <c r="W51" i="1" s="1"/>
  <c r="Q50" i="1"/>
  <c r="W50" i="1" s="1"/>
  <c r="Q49" i="1"/>
  <c r="W49" i="1" s="1"/>
  <c r="Q47" i="1"/>
  <c r="W47" i="1" s="1"/>
  <c r="Q46" i="1"/>
  <c r="Q45" i="1"/>
  <c r="W45" i="1" s="1"/>
  <c r="Q44" i="1"/>
  <c r="W44" i="1" s="1"/>
  <c r="Q41" i="1"/>
  <c r="W41" i="1" s="1"/>
  <c r="Q40" i="1"/>
  <c r="W40" i="1" s="1"/>
  <c r="Q38" i="1"/>
  <c r="W38" i="1" s="1"/>
  <c r="Q37" i="1"/>
  <c r="W37" i="1" s="1"/>
  <c r="Q36" i="1"/>
  <c r="W36" i="1" s="1"/>
  <c r="Q34" i="1"/>
  <c r="W34" i="1" s="1"/>
  <c r="Q33" i="1"/>
  <c r="W33" i="1" s="1"/>
  <c r="Q32" i="1"/>
  <c r="W32" i="1" s="1"/>
  <c r="Q31" i="1"/>
  <c r="W31" i="1" s="1"/>
  <c r="Q30" i="1"/>
  <c r="W30" i="1" s="1"/>
  <c r="Q29" i="1"/>
  <c r="W29" i="1" s="1"/>
  <c r="Q28" i="1"/>
  <c r="W28" i="1" s="1"/>
  <c r="Q27" i="1"/>
  <c r="W27" i="1" s="1"/>
  <c r="Q26" i="1"/>
  <c r="Q25" i="1"/>
  <c r="W25" i="1" s="1"/>
  <c r="Q24" i="1"/>
  <c r="W24" i="1" s="1"/>
  <c r="W22" i="1"/>
  <c r="W19" i="1"/>
  <c r="W17" i="1"/>
  <c r="K142" i="1"/>
  <c r="K141" i="1" s="1"/>
  <c r="K129" i="1"/>
  <c r="K114" i="1"/>
  <c r="K67" i="1"/>
  <c r="M39" i="1"/>
  <c r="L48" i="1"/>
  <c r="M48" i="1"/>
  <c r="N48" i="1"/>
  <c r="O48" i="1"/>
  <c r="P48" i="1"/>
  <c r="T48" i="1"/>
  <c r="U48" i="1"/>
  <c r="N39" i="1"/>
  <c r="O39" i="1"/>
  <c r="P39" i="1"/>
  <c r="K48" i="1"/>
  <c r="K131" i="1"/>
  <c r="K77" i="1"/>
  <c r="N55" i="1"/>
  <c r="N54" i="1" s="1"/>
  <c r="O55" i="1"/>
  <c r="O54" i="1" s="1"/>
  <c r="P55" i="1"/>
  <c r="P54" i="1" s="1"/>
  <c r="R55" i="1"/>
  <c r="R54" i="1" s="1"/>
  <c r="S55" i="1"/>
  <c r="S54" i="1" s="1"/>
  <c r="T55" i="1"/>
  <c r="T54" i="1" s="1"/>
  <c r="U55" i="1"/>
  <c r="U54" i="1" s="1"/>
  <c r="V55" i="1"/>
  <c r="V54" i="1" s="1"/>
  <c r="K55" i="1"/>
  <c r="K54" i="1" s="1"/>
  <c r="P100" i="1"/>
  <c r="O100" i="1"/>
  <c r="N100" i="1"/>
  <c r="K100" i="1"/>
  <c r="M16" i="1"/>
  <c r="L97" i="1"/>
  <c r="M55" i="1"/>
  <c r="M54" i="1" s="1"/>
  <c r="W61" i="1"/>
  <c r="P148" i="1"/>
  <c r="O148" i="1"/>
  <c r="N148" i="1"/>
  <c r="M148" i="1"/>
  <c r="L148" i="1"/>
  <c r="P146" i="1"/>
  <c r="O146" i="1"/>
  <c r="N146" i="1"/>
  <c r="M146" i="1"/>
  <c r="L146" i="1"/>
  <c r="P142" i="1"/>
  <c r="P141" i="1" s="1"/>
  <c r="O142" i="1"/>
  <c r="O141" i="1" s="1"/>
  <c r="N142" i="1"/>
  <c r="N141" i="1" s="1"/>
  <c r="M142" i="1"/>
  <c r="M141" i="1" s="1"/>
  <c r="L142" i="1"/>
  <c r="L141" i="1" s="1"/>
  <c r="V136" i="1"/>
  <c r="V135" i="1" s="1"/>
  <c r="U136" i="1"/>
  <c r="U135" i="1" s="1"/>
  <c r="T136" i="1"/>
  <c r="T135" i="1" s="1"/>
  <c r="S136" i="1"/>
  <c r="S135" i="1" s="1"/>
  <c r="R136" i="1"/>
  <c r="R135" i="1" s="1"/>
  <c r="P136" i="1"/>
  <c r="P135" i="1" s="1"/>
  <c r="O136" i="1"/>
  <c r="O135" i="1" s="1"/>
  <c r="N136" i="1"/>
  <c r="N135" i="1" s="1"/>
  <c r="M136" i="1"/>
  <c r="M135" i="1" s="1"/>
  <c r="L136" i="1"/>
  <c r="L135" i="1" s="1"/>
  <c r="P131" i="1"/>
  <c r="O131" i="1"/>
  <c r="N131" i="1"/>
  <c r="P122" i="1"/>
  <c r="V117" i="1"/>
  <c r="U117" i="1"/>
  <c r="T117" i="1"/>
  <c r="S117" i="1"/>
  <c r="P117" i="1"/>
  <c r="O117" i="1"/>
  <c r="N117" i="1"/>
  <c r="P114" i="1"/>
  <c r="O114" i="1"/>
  <c r="N114" i="1"/>
  <c r="P111" i="1"/>
  <c r="O111" i="1"/>
  <c r="N111" i="1"/>
  <c r="P97" i="1"/>
  <c r="O97" i="1"/>
  <c r="N97" i="1"/>
  <c r="P92" i="1"/>
  <c r="O92" i="1"/>
  <c r="N92" i="1"/>
  <c r="P77" i="1"/>
  <c r="O77" i="1"/>
  <c r="N77" i="1"/>
  <c r="P67" i="1"/>
  <c r="O67" i="1"/>
  <c r="N67" i="1"/>
  <c r="P60" i="1"/>
  <c r="O60" i="1"/>
  <c r="N60" i="1"/>
  <c r="U43" i="1"/>
  <c r="T43" i="1"/>
  <c r="P43" i="1"/>
  <c r="O43" i="1"/>
  <c r="N43" i="1"/>
  <c r="M43" i="1"/>
  <c r="V39" i="1"/>
  <c r="U39" i="1"/>
  <c r="T39" i="1"/>
  <c r="L39" i="1"/>
  <c r="V35" i="1"/>
  <c r="U35" i="1"/>
  <c r="T35" i="1"/>
  <c r="P35" i="1"/>
  <c r="O35" i="1"/>
  <c r="N35" i="1"/>
  <c r="L35" i="1"/>
  <c r="V23" i="1"/>
  <c r="U23" i="1"/>
  <c r="T23" i="1"/>
  <c r="P23" i="1"/>
  <c r="O23" i="1"/>
  <c r="N23" i="1"/>
  <c r="M23" i="1"/>
  <c r="V20" i="1"/>
  <c r="U20" i="1"/>
  <c r="T20" i="1"/>
  <c r="R20" i="1"/>
  <c r="R15" i="1" s="1"/>
  <c r="P20" i="1"/>
  <c r="O20" i="1"/>
  <c r="N20" i="1"/>
  <c r="M20" i="1"/>
  <c r="L20" i="1"/>
  <c r="V16" i="1"/>
  <c r="U16" i="1"/>
  <c r="T16" i="1"/>
  <c r="P16" i="1"/>
  <c r="P15" i="1" s="1"/>
  <c r="O16" i="1"/>
  <c r="O15" i="1" s="1"/>
  <c r="N16" i="1"/>
  <c r="N15" i="1" s="1"/>
  <c r="L16" i="1"/>
  <c r="K111" i="1"/>
  <c r="R139" i="1"/>
  <c r="R138" i="1" s="1"/>
  <c r="S139" i="1"/>
  <c r="S138" i="1" s="1"/>
  <c r="T139" i="1"/>
  <c r="T138" i="1" s="1"/>
  <c r="U139" i="1"/>
  <c r="U138" i="1" s="1"/>
  <c r="V139" i="1"/>
  <c r="V138" i="1" s="1"/>
  <c r="W21" i="1"/>
  <c r="P139" i="1"/>
  <c r="P138" i="1" s="1"/>
  <c r="O139" i="1"/>
  <c r="O138" i="1" s="1"/>
  <c r="N139" i="1"/>
  <c r="N138" i="1" s="1"/>
  <c r="M139" i="1"/>
  <c r="M138" i="1" s="1"/>
  <c r="L139" i="1"/>
  <c r="L138" i="1" s="1"/>
  <c r="K43" i="1"/>
  <c r="K16" i="1"/>
  <c r="K117" i="1"/>
  <c r="K20" i="1"/>
  <c r="K23" i="1"/>
  <c r="K146" i="1"/>
  <c r="K60" i="1"/>
  <c r="K139" i="1"/>
  <c r="K138" i="1" s="1"/>
  <c r="K136" i="1"/>
  <c r="K135" i="1" s="1"/>
  <c r="K122" i="1"/>
  <c r="K97" i="1"/>
  <c r="K92" i="1"/>
  <c r="K39" i="1"/>
  <c r="K35" i="1"/>
  <c r="L23" i="1"/>
  <c r="W150" i="1"/>
  <c r="L55" i="1"/>
  <c r="L54" i="1" s="1"/>
  <c r="M35" i="1"/>
  <c r="L43" i="1"/>
  <c r="W94" i="1" l="1"/>
  <c r="Q92" i="1"/>
  <c r="W103" i="1"/>
  <c r="Q100" i="1"/>
  <c r="W100" i="1" s="1"/>
  <c r="Q77" i="1"/>
  <c r="L59" i="1"/>
  <c r="L53" i="1" s="1"/>
  <c r="M59" i="1"/>
  <c r="M53" i="1" s="1"/>
  <c r="W149" i="1"/>
  <c r="W148" i="1"/>
  <c r="V15" i="1"/>
  <c r="U59" i="1"/>
  <c r="U53" i="1" s="1"/>
  <c r="R59" i="1"/>
  <c r="R53" i="1" s="1"/>
  <c r="S59" i="1"/>
  <c r="S53" i="1" s="1"/>
  <c r="T59" i="1"/>
  <c r="T53" i="1" s="1"/>
  <c r="W98" i="1"/>
  <c r="V59" i="1"/>
  <c r="V53" i="1" s="1"/>
  <c r="W122" i="1"/>
  <c r="P42" i="1"/>
  <c r="P14" i="1" s="1"/>
  <c r="L42" i="1"/>
  <c r="O145" i="1"/>
  <c r="M145" i="1"/>
  <c r="Q111" i="1"/>
  <c r="W111" i="1" s="1"/>
  <c r="Q139" i="1"/>
  <c r="Q138" i="1" s="1"/>
  <c r="W138" i="1" s="1"/>
  <c r="V145" i="1"/>
  <c r="Q146" i="1"/>
  <c r="W146" i="1" s="1"/>
  <c r="K134" i="1"/>
  <c r="K59" i="1"/>
  <c r="K53" i="1" s="1"/>
  <c r="Q136" i="1"/>
  <c r="Q135" i="1" s="1"/>
  <c r="W135" i="1" s="1"/>
  <c r="K15" i="1"/>
  <c r="O42" i="1"/>
  <c r="O14" i="1" s="1"/>
  <c r="W97" i="1"/>
  <c r="W117" i="1"/>
  <c r="T145" i="1"/>
  <c r="K145" i="1"/>
  <c r="K42" i="1"/>
  <c r="R134" i="1"/>
  <c r="N42" i="1"/>
  <c r="N14" i="1" s="1"/>
  <c r="U42" i="1"/>
  <c r="P59" i="1"/>
  <c r="P53" i="1" s="1"/>
  <c r="P145" i="1"/>
  <c r="R145" i="1"/>
  <c r="O134" i="1"/>
  <c r="V134" i="1"/>
  <c r="P134" i="1"/>
  <c r="T134" i="1"/>
  <c r="L145" i="1"/>
  <c r="Q142" i="1"/>
  <c r="Q16" i="1"/>
  <c r="W16" i="1" s="1"/>
  <c r="Q48" i="1"/>
  <c r="W48" i="1" s="1"/>
  <c r="W92" i="1"/>
  <c r="S145" i="1"/>
  <c r="U134" i="1"/>
  <c r="U15" i="1"/>
  <c r="M42" i="1"/>
  <c r="N59" i="1"/>
  <c r="N53" i="1" s="1"/>
  <c r="N134" i="1"/>
  <c r="N145" i="1"/>
  <c r="W118" i="1"/>
  <c r="Q35" i="1"/>
  <c r="W35" i="1" s="1"/>
  <c r="W129" i="1"/>
  <c r="L134" i="1"/>
  <c r="Q20" i="1"/>
  <c r="W20" i="1" s="1"/>
  <c r="Q39" i="1"/>
  <c r="W39" i="1" s="1"/>
  <c r="Q43" i="1"/>
  <c r="W43" i="1" s="1"/>
  <c r="W130" i="1"/>
  <c r="U145" i="1"/>
  <c r="S42" i="1"/>
  <c r="T42" i="1"/>
  <c r="R14" i="1"/>
  <c r="T15" i="1"/>
  <c r="W112" i="1"/>
  <c r="W81" i="1"/>
  <c r="O59" i="1"/>
  <c r="O53" i="1" s="1"/>
  <c r="Q114" i="1"/>
  <c r="W114" i="1" s="1"/>
  <c r="Q23" i="1"/>
  <c r="W23" i="1" s="1"/>
  <c r="W60" i="1"/>
  <c r="M134" i="1"/>
  <c r="S134" i="1"/>
  <c r="W64" i="1"/>
  <c r="S15" i="1"/>
  <c r="Q55" i="1"/>
  <c r="Q131" i="1"/>
  <c r="W131" i="1" s="1"/>
  <c r="W67" i="1"/>
  <c r="W78" i="1"/>
  <c r="W18" i="1"/>
  <c r="W95" i="1"/>
  <c r="W46" i="1"/>
  <c r="W26" i="1"/>
  <c r="Q59" i="1" l="1"/>
  <c r="W59" i="1" s="1"/>
  <c r="L14" i="1"/>
  <c r="L13" i="1" s="1"/>
  <c r="L152" i="1" s="1"/>
  <c r="W136" i="1"/>
  <c r="T14" i="1"/>
  <c r="T13" i="1" s="1"/>
  <c r="T152" i="1" s="1"/>
  <c r="W139" i="1"/>
  <c r="U14" i="1"/>
  <c r="U13" i="1" s="1"/>
  <c r="U152" i="1" s="1"/>
  <c r="M14" i="1"/>
  <c r="M13" i="1" s="1"/>
  <c r="M152" i="1" s="1"/>
  <c r="K14" i="1"/>
  <c r="K13" i="1" s="1"/>
  <c r="K152" i="1" s="1"/>
  <c r="Q145" i="1"/>
  <c r="W145" i="1" s="1"/>
  <c r="N13" i="1"/>
  <c r="N152" i="1" s="1"/>
  <c r="Q42" i="1"/>
  <c r="W42" i="1" s="1"/>
  <c r="P13" i="1"/>
  <c r="Q141" i="1"/>
  <c r="W142" i="1"/>
  <c r="W77" i="1"/>
  <c r="R13" i="1"/>
  <c r="V14" i="1"/>
  <c r="V13" i="1" s="1"/>
  <c r="V152" i="1" s="1"/>
  <c r="S14" i="1"/>
  <c r="O13" i="1"/>
  <c r="O152" i="1" s="1"/>
  <c r="Q54" i="1"/>
  <c r="W55" i="1"/>
  <c r="Q14" i="1" l="1"/>
  <c r="W14" i="1" s="1"/>
  <c r="W141" i="1"/>
  <c r="Q134" i="1"/>
  <c r="W134" i="1" s="1"/>
  <c r="W15" i="1"/>
  <c r="R152" i="1"/>
  <c r="S13" i="1"/>
  <c r="W54" i="1"/>
  <c r="Q53" i="1"/>
  <c r="W53" i="1" s="1"/>
  <c r="Q13" i="1" l="1"/>
  <c r="Q152" i="1" s="1"/>
  <c r="S152" i="1"/>
  <c r="W13" i="1" l="1"/>
  <c r="W152" i="1"/>
</calcChain>
</file>

<file path=xl/comments1.xml><?xml version="1.0" encoding="utf-8"?>
<comments xmlns="http://schemas.openxmlformats.org/spreadsheetml/2006/main">
  <authors>
    <author>Autor</author>
  </authors>
  <commentList>
    <comment ref="M2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25 ABRIL $24,000,000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25 ABRIL $24,000,000
</t>
        </r>
      </text>
    </comment>
    <comment ref="L3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TRASLADO 20 JUNIO $13.026.000</t>
        </r>
      </text>
    </comment>
    <comment ref="M3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TRASLADO 20 JUNIO $13.026.000</t>
        </r>
      </text>
    </comment>
    <comment ref="L4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TRASLADO 21,03,17 $30,000,00 JUL 26 $875,000</t>
        </r>
      </text>
    </comment>
    <comment ref="M4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03 marzo $19,599,095
21 JUL 75,758,548,5</t>
        </r>
      </text>
    </comment>
    <comment ref="L4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03 marzo $19,599,095
21 JUL $75,758,548,5</t>
        </r>
      </text>
    </comment>
    <comment ref="M4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21ABRIL $30,000,000
JUL 26 $875,000</t>
        </r>
      </text>
    </comment>
    <comment ref="L5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TRASLADO 05 DE JUNIO $1100000</t>
        </r>
      </text>
    </comment>
    <comment ref="M5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TRASLADO 05 DE JUNIO $1100000</t>
        </r>
      </text>
    </comment>
    <comment ref="L6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traslado 20 Feb $3,500,000
06 marzo $138,700,000</t>
        </r>
      </text>
    </comment>
    <comment ref="M6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Resolucion 215 $175,200,000
</t>
        </r>
      </text>
    </comment>
    <comment ref="L6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Resolucion 215 $148,000,000
RES 1330 $5,000,000</t>
        </r>
      </text>
    </comment>
    <comment ref="M6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1330 $5,000,000
</t>
        </r>
      </text>
    </comment>
    <comment ref="L6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1330 $697,920</t>
        </r>
      </text>
    </comment>
    <comment ref="M6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traslado 20 Feb $3,500,000
RES 1330 $5,000,000</t>
        </r>
      </text>
    </comment>
    <comment ref="L6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1330 $20330900</t>
        </r>
      </text>
    </comment>
    <comment ref="M6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06 marzo $138,700,000
RES 1507 $90,000,000</t>
        </r>
      </text>
    </comment>
    <comment ref="M6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1330 $19,000,000</t>
        </r>
      </text>
    </comment>
    <comment ref="L6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1330 $1,000,000</t>
        </r>
      </text>
    </comment>
    <comment ref="L6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traslado 16 feb $ 40,000,000
RES 1330 $78,516,109,18</t>
        </r>
      </text>
    </comment>
    <comment ref="M6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marzo 06 $40,000,000
RES 690 $40,129,789
RES 1022$14,823,000</t>
        </r>
      </text>
    </comment>
    <comment ref="M7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traslado 16 feb $ 40,000,000
RES 1330 $38,516,109,18</t>
        </r>
      </text>
    </comment>
    <comment ref="L7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TRASLADO 10 DE MAYO $3,000,000</t>
        </r>
      </text>
    </comment>
    <comment ref="L7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1330 $27,466,600</t>
        </r>
      </text>
    </comment>
    <comment ref="L7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1330 $32,695,303,90</t>
        </r>
      </text>
    </comment>
    <comment ref="M7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04 ABRIL $4,000,000
10 MAYO $3,000,000
</t>
        </r>
      </text>
    </comment>
    <comment ref="L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TRASLADO $4,000,000
</t>
        </r>
      </text>
    </comment>
    <comment ref="M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traslado 16 feb $ 40,000,000</t>
        </r>
      </text>
    </comment>
    <comment ref="L7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traslado 16 feb $ 40,000,000
RES $599,086,500,29</t>
        </r>
      </text>
    </comment>
    <comment ref="L7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traslado 16 feb $22,000,000
17 feb 51,000,000
RES 1330 $14,032,136</t>
        </r>
      </text>
    </comment>
    <comment ref="M7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Resolucion 215 $107,000,000
02 de Marzo $ 15,000,000</t>
        </r>
      </text>
    </comment>
    <comment ref="L7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Resolucion 215 $107,000,000</t>
        </r>
      </text>
    </comment>
    <comment ref="L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06 marzo de 2017 $33,000,000
21 JUL $ 1,719,932</t>
        </r>
      </text>
    </comment>
    <comment ref="M80" authorId="0">
      <text>
        <r>
          <rPr>
            <b/>
            <sz val="9"/>
            <color indexed="81"/>
            <rFont val="Tahoma"/>
            <family val="2"/>
          </rPr>
          <t>Andrea Johanna Perez Ruiz: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02 de marzo $15,000,000
RES 1330 $227,656,800</t>
        </r>
      </text>
    </comment>
    <comment ref="M8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1330 $227,656,800
</t>
        </r>
      </text>
    </comment>
    <comment ref="L8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1330 $14,236,357</t>
        </r>
      </text>
    </comment>
    <comment ref="M8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Resolucion 215 $30,000,000
21 JUL $1.719.932
$546,711</t>
        </r>
      </text>
    </comment>
    <comment ref="L8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Resolucion 215 $20,000,000</t>
        </r>
      </text>
    </comment>
    <comment ref="M8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1330 $5,236,357</t>
        </r>
      </text>
    </comment>
    <comment ref="L8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690 05 ABRIL$ 75,129,789
RES 1507 $20,000,000
</t>
        </r>
      </text>
    </comment>
    <comment ref="M8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1330 $199,733,949,69</t>
        </r>
      </text>
    </comment>
    <comment ref="L8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1330 $200,000,000</t>
        </r>
      </text>
    </comment>
    <comment ref="L8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21 JUL $546,711
RES 1507 $188,262,406</t>
        </r>
      </text>
    </comment>
    <comment ref="M8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675,000,000</t>
        </r>
      </text>
    </comment>
    <comment ref="L8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1330 $279,513,600</t>
        </r>
      </text>
    </comment>
    <comment ref="L9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06 de marzo de 2017 $4,080,000
RES 1330 $290,368,451</t>
        </r>
      </text>
    </comment>
    <comment ref="M9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21 JUL $700,000 $4,080,000
RES 1504 $12,520,000</t>
        </r>
      </text>
    </comment>
    <comment ref="L9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21 JUL $700,000</t>
        </r>
      </text>
    </comment>
    <comment ref="L9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21 JUL $4,080,000</t>
        </r>
      </text>
    </comment>
    <comment ref="M9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1507 $4,080,000
</t>
        </r>
      </text>
    </comment>
    <comment ref="L9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05 ABRIL $800,000</t>
        </r>
      </text>
    </comment>
    <comment ref="M9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1330 $30,000,000</t>
        </r>
      </text>
    </comment>
    <comment ref="L10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1330 $61,427,370</t>
        </r>
      </text>
    </comment>
    <comment ref="M10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11 JUL $2,000,000
RES 1507 $4,400,000
</t>
        </r>
      </text>
    </comment>
    <comment ref="M10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1330 $61,427,370</t>
        </r>
      </text>
    </comment>
    <comment ref="L10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1330 $223,313,002
11 JUL $4,000,000</t>
        </r>
      </text>
    </comment>
    <comment ref="M10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1507 $7,500,000</t>
        </r>
      </text>
    </comment>
    <comment ref="M1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1330 $223,313,002</t>
        </r>
      </text>
    </comment>
    <comment ref="L10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1330 $7250,98</t>
        </r>
      </text>
    </comment>
    <comment ref="M10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1330 $7250,98</t>
        </r>
      </text>
    </comment>
    <comment ref="L10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1330 $41,995,614,58</t>
        </r>
      </text>
    </comment>
    <comment ref="M10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1330 $41,995,614,58</t>
        </r>
      </text>
    </comment>
    <comment ref="L10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1330 $52,123,569</t>
        </r>
      </text>
    </comment>
    <comment ref="M10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11 JUL $2,000,000
RES 1507 $3,400,000
</t>
        </r>
      </text>
    </comment>
    <comment ref="M1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1330 $52,123,569</t>
        </r>
      </text>
    </comment>
    <comment ref="L11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Resolucion 215 $331,700,000
06 de marzo $42,500,000
resolucion 469  $50,582,534</t>
        </r>
      </text>
    </comment>
    <comment ref="M11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1330 $256,511,987</t>
        </r>
      </text>
    </comment>
    <comment ref="L1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1330 $294,500,000</t>
        </r>
      </text>
    </comment>
    <comment ref="M1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Resolucion 215 $19,500,00;$107,000,000;$20,000,000;$148,000,000
</t>
        </r>
      </text>
    </comment>
    <comment ref="M11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Resolucion 215 $19,500,000
RES 690 $800,000
RES 1330 $ 14,460,000
RES 1507 $25,780,823</t>
        </r>
      </text>
    </comment>
    <comment ref="L1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Resolucion 215 $19,500,00</t>
        </r>
      </text>
    </comment>
    <comment ref="M1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1330 $46,349,573</t>
        </r>
      </text>
    </comment>
    <comment ref="L11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1330 $26,983,842,05</t>
        </r>
      </text>
    </comment>
    <comment ref="M11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690 $8,000,000</t>
        </r>
      </text>
    </comment>
    <comment ref="M12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1330 $7,000,000
</t>
        </r>
      </text>
    </comment>
    <comment ref="L1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TRASLADO 05 ABRIL $30,000,000
RESO 1022 $14,823,000
RES 1330 $174,600,000</t>
        </r>
      </text>
    </comment>
    <comment ref="M1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690 $35,000,000
RES 1507 $55,000,000</t>
        </r>
      </text>
    </comment>
    <comment ref="M12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RES1330 $174,600,000</t>
        </r>
      </text>
    </comment>
    <comment ref="L12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1330 $28,052,600</t>
        </r>
      </text>
    </comment>
    <comment ref="M12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1330 $26,000,000
</t>
        </r>
      </text>
    </comment>
    <comment ref="L12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1330 $30,000,000</t>
        </r>
      </text>
    </comment>
    <comment ref="M12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05 ABRIL $30,000,000
</t>
        </r>
      </text>
    </comment>
    <comment ref="M12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1330 $30,000,000</t>
        </r>
      </text>
    </comment>
    <comment ref="M13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1330 $1,200,000</t>
        </r>
      </text>
    </comment>
    <comment ref="L13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05 ABRIL $8,000,000
RES 1330 $4,080,000 $15,110,801</t>
        </r>
      </text>
    </comment>
    <comment ref="M13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06 de Marzo de 2017 $ 4,080,000 $2,500,000
RES 1507 $ 9,661,583</t>
        </r>
      </text>
    </comment>
    <comment ref="L1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1507 $ 4,080,000</t>
        </r>
      </text>
    </comment>
  </commentList>
</comments>
</file>

<file path=xl/sharedStrings.xml><?xml version="1.0" encoding="utf-8"?>
<sst xmlns="http://schemas.openxmlformats.org/spreadsheetml/2006/main" count="1171" uniqueCount="176">
  <si>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</si>
  <si>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</si>
  <si>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</si>
  <si>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</si>
  <si>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</si>
  <si>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</si>
  <si>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</si>
  <si>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</si>
  <si>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</si>
  <si>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</si>
  <si>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A</t>
  </si>
  <si>
    <t>1</t>
  </si>
  <si>
    <t>0</t>
  </si>
  <si>
    <t>Nación</t>
  </si>
  <si>
    <t>10</t>
  </si>
  <si>
    <t>CSF</t>
  </si>
  <si>
    <t>SUELDOS</t>
  </si>
  <si>
    <t>2</t>
  </si>
  <si>
    <t>SUELDOS DE VACACIONES</t>
  </si>
  <si>
    <t>4</t>
  </si>
  <si>
    <t>INCAPACIDADES Y LICENCIA DE MATERNIDAD</t>
  </si>
  <si>
    <t>PRIMA TECNICA NO SALARIAL</t>
  </si>
  <si>
    <t>5</t>
  </si>
  <si>
    <t>BONIFICACION POR SERVICIOS PRESTADOS</t>
  </si>
  <si>
    <t>BONIFICACION ESPECIAL DE RECREACION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</si>
  <si>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</si>
  <si>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</si>
  <si>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</si>
  <si>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</si>
  <si>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</si>
  <si>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</si>
  <si>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</si>
  <si>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</si>
  <si>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16</t>
  </si>
  <si>
    <t>PRIMA DE NAVIDAD</t>
  </si>
  <si>
    <t>37</t>
  </si>
  <si>
    <t>QUINQUENIOS</t>
  </si>
  <si>
    <t>45</t>
  </si>
  <si>
    <t>PRIMAS EXTRALEGALES PROVISIONADAS</t>
  </si>
  <si>
    <t>47</t>
  </si>
  <si>
    <t>PRIMA DE COORDINACION</t>
  </si>
  <si>
    <t>92</t>
  </si>
  <si>
    <t>BONIFICACION DE DIRECCION</t>
  </si>
  <si>
    <t>9</t>
  </si>
  <si>
    <t>HORAS EXTRAS</t>
  </si>
  <si>
    <t>RECARGOS NOCTURNOS Y FESTIVOS</t>
  </si>
  <si>
    <t>3</t>
  </si>
  <si>
    <t>INDEMNIZACION POR VACACIONES</t>
  </si>
  <si>
    <t>HONORARIOS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</si>
  <si>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</si>
  <si>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</si>
  <si>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</si>
  <si>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</si>
  <si>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</si>
  <si>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</si>
  <si>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6</t>
  </si>
  <si>
    <t>APORTES AL ICBF</t>
  </si>
  <si>
    <t>7</t>
  </si>
  <si>
    <t>APORTES AL SENA</t>
  </si>
  <si>
    <t>50</t>
  </si>
  <si>
    <t>IMPUESTO DE VEHICULO</t>
  </si>
  <si>
    <t>IMPUESTO PREDIAL</t>
  </si>
  <si>
    <t>8</t>
  </si>
  <si>
    <t>25</t>
  </si>
  <si>
    <t>OTRAS COMPRAS DE EQUIPOS</t>
  </si>
  <si>
    <t>COMBUSTIBLE Y LUBRICANTES</t>
  </si>
  <si>
    <t>DOTACION</t>
  </si>
  <si>
    <t>MATERIALES REACTIVOS DE LABORATORIO Y QUÍMICOS</t>
  </si>
  <si>
    <t>PAPELERIA, UTILES DE ESCRITORIO Y OFICINA</t>
  </si>
  <si>
    <t>23</t>
  </si>
  <si>
    <t>OTROS MATERIALES Y SUMINISTROS</t>
  </si>
  <si>
    <t>MANTENIMIENTO DE BIENES INMUEBLES</t>
  </si>
  <si>
    <t>MANTENIMIENTO DE BIENES MUEBLES, EQUIPOS Y ENSERES</t>
  </si>
  <si>
    <t>MANTENIMIENTO EQUIPO COMUNICACIONES Y COMPUTACION</t>
  </si>
  <si>
    <t>MANTENIMIENTO EQUIPO DE NAVEGACION Y TRANSPORTE</t>
  </si>
  <si>
    <t>SERVICIO DE ASEO</t>
  </si>
  <si>
    <t>SERVICIO DE SEGURIDAD Y VIGILANCIA</t>
  </si>
  <si>
    <t>MANTENIMIENTO DE SOFTWARE</t>
  </si>
  <si>
    <t>CORREO</t>
  </si>
  <si>
    <t>EMBALAJE Y ACARREO</t>
  </si>
  <si>
    <t>SERVICIOS DE TRANSMISION DE INFORMACION</t>
  </si>
  <si>
    <t>OTROS GASTOS POR IMPRESOS Y PUBLICACIONES</t>
  </si>
  <si>
    <t>ACUEDUCTO ALCANTARILLADO Y ASEO</t>
  </si>
  <si>
    <t>ENERGIA</t>
  </si>
  <si>
    <t>GAS NATURAL</t>
  </si>
  <si>
    <t>TELEFONIA MOVIL CELULAR</t>
  </si>
  <si>
    <t>TELEFONO,FAX Y OTROS</t>
  </si>
  <si>
    <t>11</t>
  </si>
  <si>
    <t>SEGUROS GENERALES</t>
  </si>
  <si>
    <t>VIATICOS Y GASTOS DE VIAJE AL EXTERIOR</t>
  </si>
  <si>
    <t>VIATICOS Y GASTOS DE VIAJE AL INTERIOR</t>
  </si>
  <si>
    <t>21</t>
  </si>
  <si>
    <t>SERVICIOS DE BIENESTAR SOCIAL</t>
  </si>
  <si>
    <t>SERVICIOS DE CAPACITACION</t>
  </si>
  <si>
    <t>OTROS GASTOS POR ADQUISICION DE SERVICIOS</t>
  </si>
  <si>
    <t>SUELDOS DE PERSONAL DE NOMINA</t>
  </si>
  <si>
    <t>SERVICIOS PERSONALES ASOCIADOS A NOMINA</t>
  </si>
  <si>
    <t>GASTOS DE PERSONAL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</si>
  <si>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</si>
  <si>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</si>
  <si>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</si>
  <si>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</si>
  <si>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</si>
  <si>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</si>
  <si>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ADMINISTRADAS POR EL SECTOR PRIVADO</t>
  </si>
  <si>
    <t>ADMINISTRADAS POR EL SECTOR PUBLICO</t>
  </si>
  <si>
    <t>ADQUISICION DE BIENES Y SERVICIOS</t>
  </si>
  <si>
    <t>COMPRA DE EQUIPO</t>
  </si>
  <si>
    <t>GASTOS GENERALES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</si>
  <si>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</si>
  <si>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</si>
  <si>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</si>
  <si>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</si>
  <si>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</si>
  <si>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</si>
  <si>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ARRENDAMIENTOS</t>
  </si>
  <si>
    <t>VIATICOS Y GASTOS DE VIAJE</t>
  </si>
  <si>
    <t>CAPACITACION, BIENESTAR SOCIAL Y ESTIMULOS</t>
  </si>
  <si>
    <t>SSF</t>
  </si>
  <si>
    <t>CUOTA DE AUDITAJE CONTRANAL</t>
  </si>
  <si>
    <t>73</t>
  </si>
  <si>
    <t>INSTITUTO INTERAMERICANO PARA LA INVESTIGACION DEL CAMBIO GLOBAL -IAI-CONTRIBUCION VOLUNTARIA (LEY 304/96)</t>
  </si>
  <si>
    <t>SENTENCIAS Y CONCILIACIONES</t>
  </si>
  <si>
    <t>C</t>
  </si>
  <si>
    <t>Propios</t>
  </si>
  <si>
    <t>20</t>
  </si>
  <si>
    <t>IDENTIFICACION PREUPUESTAL</t>
  </si>
  <si>
    <t>CDP ACUMULADOS</t>
  </si>
  <si>
    <t>COMPROMISO ACUMULADOS</t>
  </si>
  <si>
    <t>OBLIGACION ACUMULADOS</t>
  </si>
  <si>
    <t>ORDEN PAGO ACUMULADOS</t>
  </si>
  <si>
    <t>PAGOS ACUMULADOS</t>
  </si>
  <si>
    <t>INVERSION</t>
  </si>
  <si>
    <t>INVERSION NACION</t>
  </si>
  <si>
    <t>INVERSION PROPIOS</t>
  </si>
  <si>
    <t>GASTOS DE FUNCIONAMIENTO</t>
  </si>
  <si>
    <t>TOTAL FUNCIONAMIENTO E INVERSION</t>
  </si>
  <si>
    <t>INFORME DE EJECUCION PRESUPUESTAL</t>
  </si>
  <si>
    <r>
      <rPr>
        <b/>
        <sz val="11"/>
        <rFont val="Arial"/>
        <family val="2"/>
      </rPr>
      <t>%</t>
    </r>
    <r>
      <rPr>
        <b/>
        <sz val="7"/>
        <rFont val="Arial"/>
        <family val="2"/>
      </rPr>
      <t xml:space="preserve"> EJECUCION</t>
    </r>
  </si>
  <si>
    <t>APROPIACION VIGENTE</t>
  </si>
  <si>
    <t>AÑO FISCAL:                             2012</t>
  </si>
  <si>
    <t>REMUNERACION SERVICIOS TECNICOS</t>
  </si>
  <si>
    <t>TRANSFERENCIAS</t>
  </si>
  <si>
    <t>TRANSFERENCIAS AL SECTOR PUBLICO</t>
  </si>
  <si>
    <t>ORDEN NACIONAL</t>
  </si>
  <si>
    <t>TRANSFERENCIAS AL EXTERIOR</t>
  </si>
  <si>
    <t>ORGANISMOS INTERNACIONALES</t>
  </si>
  <si>
    <t>OTRAS TRANSFERENCIAS</t>
  </si>
  <si>
    <t>TRASLADOS</t>
  </si>
  <si>
    <t>CONTRACREDITO</t>
  </si>
  <si>
    <t>CREDITO</t>
  </si>
  <si>
    <t>REDUCCION</t>
  </si>
  <si>
    <t>ADICION</t>
  </si>
  <si>
    <t>APROPIACION INICIAL</t>
  </si>
  <si>
    <t xml:space="preserve">PERIODO:                                </t>
  </si>
  <si>
    <t>PRIMA TECNICA SALARIAL</t>
  </si>
  <si>
    <r>
      <t>SECCION:</t>
    </r>
    <r>
      <rPr>
        <u/>
        <sz val="7"/>
        <rFont val="Arial"/>
        <family val="2"/>
      </rPr>
      <t xml:space="preserve"> </t>
    </r>
    <r>
      <rPr>
        <sz val="7"/>
        <rFont val="Arial"/>
        <family val="2"/>
      </rPr>
      <t xml:space="preserve">                                3202</t>
    </r>
  </si>
  <si>
    <t xml:space="preserve">UNIDAD EJECUTORA:                000 </t>
  </si>
  <si>
    <t>FORTALECIMIENTO DE LA GESTIÓN DEL CONOCIMIENTO HIDROLÓGICO, METEOROLÓGICO, AMBIENTAL Y CLIMÁTICO</t>
  </si>
  <si>
    <t>BLOQUEADA</t>
  </si>
  <si>
    <t>LLANTAS Y ACCESORIOS</t>
  </si>
  <si>
    <t>JANNETH ANDREA SABOGAL PORTILLA</t>
  </si>
  <si>
    <t>COORDINADOR GRUPO DE PRESUPUESTO</t>
  </si>
  <si>
    <t>OTROS IMPUESTOS</t>
  </si>
  <si>
    <t>ARRENDAMIENTOS BIENES INMUEBLES</t>
  </si>
  <si>
    <t>IMPUESTOS Y CONTRIBUCIONES</t>
  </si>
  <si>
    <t>MOBILIARIO Y ENSERES</t>
  </si>
  <si>
    <t>GASTOS JUDICIALES</t>
  </si>
  <si>
    <t>COMISIONES BANCARIAS</t>
  </si>
  <si>
    <t>CONCILIACIONES</t>
  </si>
  <si>
    <t xml:space="preserve">SENTENCIAS </t>
  </si>
  <si>
    <t>0900</t>
  </si>
  <si>
    <t>EQUIPO DE COMUNICACIONES</t>
  </si>
  <si>
    <t xml:space="preserve">SERVICIOS PARA ESTIMULOS </t>
  </si>
  <si>
    <t>DESARROLLO DE HERRAMIENTAS DE INFORMACION Y CONOCIMIENTO PARA LA TOMA DE DECISIONES OPORTUNAS ANTE EVENTOS ADVERSOS DE ORIGEN HIDROMETEREOLOGICO EN EL DEPARTAMENTO DEL CHOCO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</si>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</sst>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#,##0.0000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4"/>
      <name val="Arial"/>
      <family val="2"/>
    </font>
    <font>
      <sz val="10"/>
      <name val="Arial"/>
      <family val="2"/>
    </font>
    <font>
      <b/>
      <sz val="7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3" fontId="17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4" fontId="7" fillId="2" borderId="1" xfId="4" applyNumberFormat="1" applyFont="1" applyFill="1" applyBorder="1" applyAlignment="1">
      <alignment horizontal="right" vertical="center" shrinkToFit="1"/>
    </xf>
    <xf numFmtId="4" fontId="7" fillId="2" borderId="2" xfId="4" applyNumberFormat="1" applyFont="1" applyFill="1" applyBorder="1" applyAlignment="1">
      <alignment horizontal="right" vertical="center" shrinkToFit="1"/>
    </xf>
    <xf numFmtId="4" fontId="7" fillId="2" borderId="3" xfId="4" applyNumberFormat="1" applyFont="1" applyFill="1" applyBorder="1" applyAlignment="1">
      <alignment horizontal="right" vertical="center" shrinkToFit="1"/>
    </xf>
    <xf numFmtId="4" fontId="18" fillId="2" borderId="2" xfId="4" applyNumberFormat="1" applyFont="1" applyFill="1" applyBorder="1" applyAlignment="1">
      <alignment horizontal="right" vertical="center" shrinkToFit="1"/>
    </xf>
    <xf numFmtId="4" fontId="18" fillId="2" borderId="1" xfId="4" applyNumberFormat="1" applyFont="1" applyFill="1" applyBorder="1" applyAlignment="1">
      <alignment horizontal="right" vertical="center" shrinkToFit="1"/>
    </xf>
    <xf numFmtId="4" fontId="8" fillId="2" borderId="2" xfId="4" applyNumberFormat="1" applyFont="1" applyFill="1" applyBorder="1" applyAlignment="1">
      <alignment horizontal="right" vertical="center" shrinkToFit="1"/>
    </xf>
    <xf numFmtId="4" fontId="8" fillId="2" borderId="0" xfId="4" applyNumberFormat="1" applyFont="1" applyFill="1"/>
    <xf numFmtId="0" fontId="8" fillId="2" borderId="0" xfId="4" applyFont="1" applyFill="1"/>
    <xf numFmtId="0" fontId="11" fillId="2" borderId="4" xfId="4" applyFont="1" applyFill="1" applyBorder="1" applyAlignment="1" applyProtection="1">
      <alignment vertical="center"/>
    </xf>
    <xf numFmtId="0" fontId="11" fillId="2" borderId="5" xfId="4" applyFont="1" applyFill="1" applyBorder="1" applyAlignment="1" applyProtection="1">
      <alignment vertical="center"/>
    </xf>
    <xf numFmtId="0" fontId="5" fillId="2" borderId="5" xfId="0" applyFont="1" applyFill="1" applyBorder="1"/>
    <xf numFmtId="0" fontId="11" fillId="2" borderId="6" xfId="4" applyFont="1" applyFill="1" applyBorder="1" applyAlignment="1" applyProtection="1">
      <alignment vertical="center"/>
    </xf>
    <xf numFmtId="0" fontId="11" fillId="2" borderId="0" xfId="4" applyFont="1" applyFill="1" applyBorder="1" applyAlignment="1" applyProtection="1">
      <alignment vertical="center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11" fillId="2" borderId="0" xfId="4" applyFont="1" applyFill="1" applyBorder="1" applyAlignment="1" applyProtection="1">
      <alignment horizontal="center" vertical="center"/>
    </xf>
    <xf numFmtId="0" fontId="11" fillId="2" borderId="6" xfId="4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8" fillId="2" borderId="6" xfId="4" applyFont="1" applyFill="1" applyBorder="1" applyAlignment="1" applyProtection="1">
      <alignment vertical="center"/>
    </xf>
    <xf numFmtId="0" fontId="8" fillId="2" borderId="0" xfId="4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/>
    </xf>
    <xf numFmtId="0" fontId="8" fillId="2" borderId="0" xfId="4" applyFont="1" applyFill="1" applyBorder="1" applyAlignment="1" applyProtection="1"/>
    <xf numFmtId="0" fontId="8" fillId="2" borderId="6" xfId="4" applyFont="1" applyFill="1" applyBorder="1" applyAlignment="1" applyProtection="1"/>
    <xf numFmtId="0" fontId="8" fillId="2" borderId="0" xfId="0" quotePrefix="1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left" vertical="center"/>
    </xf>
    <xf numFmtId="0" fontId="8" fillId="2" borderId="7" xfId="0" applyFont="1" applyFill="1" applyBorder="1" applyAlignment="1" applyProtection="1">
      <alignment vertical="center"/>
    </xf>
    <xf numFmtId="4" fontId="8" fillId="2" borderId="7" xfId="0" applyNumberFormat="1" applyFont="1" applyFill="1" applyBorder="1" applyAlignment="1" applyProtection="1">
      <alignment vertical="center"/>
    </xf>
    <xf numFmtId="0" fontId="7" fillId="2" borderId="8" xfId="4" applyFont="1" applyFill="1" applyBorder="1" applyAlignment="1">
      <alignment horizontal="center" vertical="center" wrapText="1"/>
    </xf>
    <xf numFmtId="0" fontId="14" fillId="2" borderId="8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4" fontId="7" fillId="2" borderId="10" xfId="4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 applyProtection="1">
      <alignment vertical="center"/>
    </xf>
    <xf numFmtId="0" fontId="0" fillId="2" borderId="0" xfId="0" applyFill="1"/>
    <xf numFmtId="0" fontId="0" fillId="2" borderId="0" xfId="0" applyFill="1" applyAlignment="1" applyProtection="1">
      <alignment vertical="center"/>
    </xf>
    <xf numFmtId="0" fontId="3" fillId="2" borderId="0" xfId="0" applyFont="1" applyFill="1"/>
    <xf numFmtId="4" fontId="3" fillId="2" borderId="0" xfId="0" applyNumberFormat="1" applyFont="1" applyFill="1"/>
    <xf numFmtId="0" fontId="2" fillId="2" borderId="0" xfId="0" applyFont="1" applyFill="1" applyBorder="1"/>
    <xf numFmtId="0" fontId="2" fillId="2" borderId="0" xfId="0" applyFont="1" applyFill="1"/>
    <xf numFmtId="1" fontId="7" fillId="2" borderId="11" xfId="4" applyNumberFormat="1" applyFont="1" applyFill="1" applyBorder="1" applyAlignment="1">
      <alignment horizontal="left" vertical="center" shrinkToFit="1"/>
    </xf>
    <xf numFmtId="1" fontId="7" fillId="2" borderId="1" xfId="4" applyNumberFormat="1" applyFont="1" applyFill="1" applyBorder="1" applyAlignment="1">
      <alignment horizontal="left" vertical="center" shrinkToFit="1"/>
    </xf>
    <xf numFmtId="1" fontId="7" fillId="2" borderId="12" xfId="4" applyNumberFormat="1" applyFont="1" applyFill="1" applyBorder="1" applyAlignment="1">
      <alignment horizontal="left" vertical="center" shrinkToFit="1"/>
    </xf>
    <xf numFmtId="1" fontId="7" fillId="2" borderId="13" xfId="4" applyNumberFormat="1" applyFont="1" applyFill="1" applyBorder="1" applyAlignment="1">
      <alignment horizontal="left" vertical="center" shrinkToFit="1"/>
    </xf>
    <xf numFmtId="1" fontId="7" fillId="2" borderId="2" xfId="4" applyNumberFormat="1" applyFont="1" applyFill="1" applyBorder="1" applyAlignment="1">
      <alignment horizontal="left" vertical="center" shrinkToFit="1"/>
    </xf>
    <xf numFmtId="4" fontId="7" fillId="2" borderId="2" xfId="3" applyNumberFormat="1" applyFont="1" applyFill="1" applyBorder="1" applyAlignment="1">
      <alignment horizontal="left" vertical="center"/>
    </xf>
    <xf numFmtId="4" fontId="7" fillId="2" borderId="14" xfId="3" applyNumberFormat="1" applyFont="1" applyFill="1" applyBorder="1" applyAlignment="1">
      <alignment horizontal="left" vertical="center"/>
    </xf>
    <xf numFmtId="1" fontId="7" fillId="2" borderId="2" xfId="4" applyNumberFormat="1" applyFont="1" applyFill="1" applyBorder="1" applyAlignment="1">
      <alignment horizontal="justify" vertical="justify" wrapText="1"/>
    </xf>
    <xf numFmtId="1" fontId="8" fillId="2" borderId="13" xfId="4" applyNumberFormat="1" applyFont="1" applyFill="1" applyBorder="1" applyAlignment="1">
      <alignment horizontal="left" vertical="center" shrinkToFit="1"/>
    </xf>
    <xf numFmtId="1" fontId="8" fillId="2" borderId="2" xfId="4" applyNumberFormat="1" applyFont="1" applyFill="1" applyBorder="1" applyAlignment="1">
      <alignment horizontal="left" vertical="center" shrinkToFit="1"/>
    </xf>
    <xf numFmtId="4" fontId="8" fillId="2" borderId="2" xfId="3" applyNumberFormat="1" applyFont="1" applyFill="1" applyBorder="1" applyAlignment="1">
      <alignment horizontal="left" vertical="center"/>
    </xf>
    <xf numFmtId="4" fontId="8" fillId="2" borderId="14" xfId="3" applyNumberFormat="1" applyFont="1" applyFill="1" applyBorder="1" applyAlignment="1">
      <alignment horizontal="left" vertical="center"/>
    </xf>
    <xf numFmtId="3" fontId="7" fillId="2" borderId="2" xfId="3" applyNumberFormat="1" applyFont="1" applyFill="1" applyBorder="1" applyAlignment="1">
      <alignment horizontal="left" vertical="center"/>
    </xf>
    <xf numFmtId="1" fontId="8" fillId="2" borderId="2" xfId="4" applyNumberFormat="1" applyFont="1" applyFill="1" applyBorder="1" applyAlignment="1">
      <alignment horizontal="justify" vertical="justify" wrapText="1"/>
    </xf>
    <xf numFmtId="1" fontId="15" fillId="2" borderId="2" xfId="4" applyNumberFormat="1" applyFont="1" applyFill="1" applyBorder="1" applyAlignment="1">
      <alignment horizontal="justify" vertical="justify" wrapText="1"/>
    </xf>
    <xf numFmtId="3" fontId="8" fillId="2" borderId="2" xfId="3" applyNumberFormat="1" applyFont="1" applyFill="1" applyBorder="1" applyAlignment="1">
      <alignment horizontal="left" vertical="center"/>
    </xf>
    <xf numFmtId="4" fontId="0" fillId="2" borderId="0" xfId="0" applyNumberFormat="1" applyFill="1"/>
    <xf numFmtId="49" fontId="8" fillId="2" borderId="0" xfId="4" applyNumberFormat="1" applyFont="1" applyFill="1" applyAlignment="1">
      <alignment horizontal="center"/>
    </xf>
    <xf numFmtId="49" fontId="11" fillId="2" borderId="5" xfId="4" applyNumberFormat="1" applyFont="1" applyFill="1" applyBorder="1" applyAlignment="1" applyProtection="1">
      <alignment horizontal="center" vertical="center"/>
    </xf>
    <xf numFmtId="49" fontId="11" fillId="2" borderId="0" xfId="4" applyNumberFormat="1" applyFont="1" applyFill="1" applyBorder="1" applyAlignment="1" applyProtection="1">
      <alignment horizontal="center" vertical="center"/>
    </xf>
    <xf numFmtId="49" fontId="8" fillId="2" borderId="0" xfId="4" applyNumberFormat="1" applyFont="1" applyFill="1" applyBorder="1" applyAlignment="1" applyProtection="1">
      <alignment horizontal="center" vertical="center"/>
    </xf>
    <xf numFmtId="49" fontId="8" fillId="2" borderId="0" xfId="4" applyNumberFormat="1" applyFont="1" applyFill="1" applyBorder="1" applyAlignment="1" applyProtection="1">
      <alignment horizontal="center"/>
    </xf>
    <xf numFmtId="49" fontId="16" fillId="2" borderId="8" xfId="4" applyNumberFormat="1" applyFont="1" applyFill="1" applyBorder="1" applyAlignment="1">
      <alignment horizontal="center" vertical="center" wrapText="1"/>
    </xf>
    <xf numFmtId="49" fontId="7" fillId="2" borderId="1" xfId="4" applyNumberFormat="1" applyFont="1" applyFill="1" applyBorder="1" applyAlignment="1">
      <alignment horizontal="center" vertical="center" shrinkToFit="1"/>
    </xf>
    <xf numFmtId="49" fontId="7" fillId="2" borderId="2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vertical="center"/>
    </xf>
    <xf numFmtId="0" fontId="8" fillId="2" borderId="0" xfId="4" applyFont="1" applyFill="1" applyBorder="1" applyAlignment="1" applyProtection="1">
      <alignment horizontal="right"/>
    </xf>
    <xf numFmtId="0" fontId="13" fillId="2" borderId="0" xfId="4" applyFont="1" applyFill="1" applyBorder="1" applyAlignment="1"/>
    <xf numFmtId="0" fontId="13" fillId="2" borderId="0" xfId="4" applyFont="1" applyFill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9" fontId="8" fillId="2" borderId="0" xfId="5" applyNumberFormat="1" applyFont="1" applyFill="1"/>
    <xf numFmtId="9" fontId="11" fillId="2" borderId="15" xfId="5" applyNumberFormat="1" applyFont="1" applyFill="1" applyBorder="1" applyAlignment="1" applyProtection="1">
      <alignment vertical="center"/>
    </xf>
    <xf numFmtId="9" fontId="11" fillId="2" borderId="16" xfId="5" applyNumberFormat="1" applyFont="1" applyFill="1" applyBorder="1" applyAlignment="1" applyProtection="1">
      <alignment vertical="center"/>
    </xf>
    <xf numFmtId="4" fontId="11" fillId="2" borderId="0" xfId="4" applyNumberFormat="1" applyFont="1" applyFill="1" applyBorder="1" applyAlignment="1" applyProtection="1">
      <alignment vertical="center"/>
    </xf>
    <xf numFmtId="9" fontId="11" fillId="2" borderId="16" xfId="5" applyNumberFormat="1" applyFont="1" applyFill="1" applyBorder="1" applyAlignment="1" applyProtection="1">
      <alignment horizontal="center" vertical="center"/>
    </xf>
    <xf numFmtId="4" fontId="8" fillId="2" borderId="0" xfId="0" applyNumberFormat="1" applyFont="1" applyFill="1" applyBorder="1" applyAlignment="1" applyProtection="1">
      <alignment vertical="center"/>
    </xf>
    <xf numFmtId="4" fontId="7" fillId="2" borderId="0" xfId="0" applyNumberFormat="1" applyFont="1" applyFill="1" applyBorder="1" applyAlignment="1" applyProtection="1">
      <alignment vertical="center"/>
      <protection locked="0"/>
    </xf>
    <xf numFmtId="9" fontId="7" fillId="2" borderId="16" xfId="5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</xf>
    <xf numFmtId="9" fontId="8" fillId="2" borderId="16" xfId="5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4" fontId="8" fillId="2" borderId="7" xfId="0" applyNumberFormat="1" applyFont="1" applyFill="1" applyBorder="1" applyAlignment="1">
      <alignment vertical="center"/>
    </xf>
    <xf numFmtId="4" fontId="10" fillId="2" borderId="7" xfId="5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left" vertical="center"/>
    </xf>
    <xf numFmtId="9" fontId="7" fillId="2" borderId="17" xfId="5" applyNumberFormat="1" applyFont="1" applyFill="1" applyBorder="1" applyAlignment="1">
      <alignment horizontal="left" vertical="center"/>
    </xf>
    <xf numFmtId="9" fontId="7" fillId="2" borderId="18" xfId="5" applyNumberFormat="1" applyFont="1" applyFill="1" applyBorder="1" applyAlignment="1">
      <alignment horizontal="center" vertical="center"/>
    </xf>
    <xf numFmtId="9" fontId="7" fillId="2" borderId="19" xfId="5" applyNumberFormat="1" applyFont="1" applyFill="1" applyBorder="1" applyAlignment="1">
      <alignment horizontal="center" vertical="center"/>
    </xf>
    <xf numFmtId="9" fontId="7" fillId="2" borderId="20" xfId="5" applyNumberFormat="1" applyFont="1" applyFill="1" applyBorder="1" applyAlignment="1">
      <alignment horizontal="center" vertical="center"/>
    </xf>
    <xf numFmtId="9" fontId="7" fillId="2" borderId="21" xfId="5" applyNumberFormat="1" applyFont="1" applyFill="1" applyBorder="1" applyAlignment="1">
      <alignment horizontal="center" vertical="center" shrinkToFit="1"/>
    </xf>
    <xf numFmtId="9" fontId="8" fillId="2" borderId="20" xfId="5" applyNumberFormat="1" applyFont="1" applyFill="1" applyBorder="1" applyAlignment="1">
      <alignment horizontal="center" vertical="center" shrinkToFit="1"/>
    </xf>
    <xf numFmtId="9" fontId="7" fillId="2" borderId="20" xfId="5" applyNumberFormat="1" applyFont="1" applyFill="1" applyBorder="1" applyAlignment="1">
      <alignment horizontal="center" vertical="center" shrinkToFit="1"/>
    </xf>
    <xf numFmtId="9" fontId="8" fillId="2" borderId="22" xfId="5" applyNumberFormat="1" applyFont="1" applyFill="1" applyBorder="1" applyAlignment="1">
      <alignment horizontal="center" vertical="center" shrinkToFit="1"/>
    </xf>
    <xf numFmtId="10" fontId="8" fillId="2" borderId="0" xfId="5" applyNumberFormat="1" applyFont="1" applyFill="1"/>
    <xf numFmtId="4" fontId="7" fillId="2" borderId="23" xfId="4" applyNumberFormat="1" applyFont="1" applyFill="1" applyBorder="1" applyAlignment="1">
      <alignment horizontal="center" vertical="center" wrapText="1"/>
    </xf>
    <xf numFmtId="4" fontId="7" fillId="2" borderId="24" xfId="4" applyNumberFormat="1" applyFont="1" applyFill="1" applyBorder="1" applyAlignment="1">
      <alignment horizontal="center" vertical="center" wrapText="1"/>
    </xf>
    <xf numFmtId="166" fontId="8" fillId="2" borderId="0" xfId="4" applyNumberFormat="1" applyFont="1" applyFill="1"/>
    <xf numFmtId="0" fontId="8" fillId="2" borderId="2" xfId="3" applyNumberFormat="1" applyFont="1" applyFill="1" applyBorder="1" applyAlignment="1">
      <alignment horizontal="left" vertical="center"/>
    </xf>
    <xf numFmtId="43" fontId="13" fillId="2" borderId="0" xfId="1" applyFont="1" applyFill="1" applyBorder="1" applyAlignment="1"/>
    <xf numFmtId="43" fontId="8" fillId="2" borderId="0" xfId="1" applyFont="1" applyFill="1"/>
    <xf numFmtId="4" fontId="18" fillId="0" borderId="2" xfId="4" applyNumberFormat="1" applyFont="1" applyFill="1" applyBorder="1" applyAlignment="1">
      <alignment horizontal="right" vertical="center" shrinkToFit="1"/>
    </xf>
    <xf numFmtId="49" fontId="8" fillId="2" borderId="2" xfId="4" applyNumberFormat="1" applyFont="1" applyFill="1" applyBorder="1" applyAlignment="1">
      <alignment horizontal="left" vertical="center" shrinkToFit="1"/>
    </xf>
    <xf numFmtId="4" fontId="13" fillId="2" borderId="0" xfId="4" applyNumberFormat="1" applyFont="1" applyFill="1" applyBorder="1" applyAlignment="1"/>
    <xf numFmtId="4" fontId="8" fillId="0" borderId="2" xfId="4" applyNumberFormat="1" applyFont="1" applyFill="1" applyBorder="1" applyAlignment="1">
      <alignment horizontal="right" vertical="center" shrinkToFit="1"/>
    </xf>
    <xf numFmtId="4" fontId="7" fillId="0" borderId="2" xfId="4" applyNumberFormat="1" applyFont="1" applyFill="1" applyBorder="1" applyAlignment="1">
      <alignment horizontal="right" vertical="center" shrinkToFit="1"/>
    </xf>
    <xf numFmtId="9" fontId="8" fillId="2" borderId="21" xfId="5" applyNumberFormat="1" applyFont="1" applyFill="1" applyBorder="1" applyAlignment="1">
      <alignment horizontal="center" vertical="center" shrinkToFit="1"/>
    </xf>
    <xf numFmtId="9" fontId="8" fillId="2" borderId="34" xfId="5" applyNumberFormat="1" applyFont="1" applyFill="1" applyBorder="1" applyAlignment="1">
      <alignment horizontal="center" vertical="center" shrinkToFit="1"/>
    </xf>
    <xf numFmtId="9" fontId="3" fillId="2" borderId="0" xfId="5" applyNumberFormat="1" applyFont="1" applyFill="1"/>
    <xf numFmtId="4" fontId="8" fillId="2" borderId="35" xfId="4" applyNumberFormat="1" applyFont="1" applyFill="1" applyBorder="1" applyAlignment="1">
      <alignment horizontal="right" vertical="center" shrinkToFit="1"/>
    </xf>
    <xf numFmtId="1" fontId="8" fillId="2" borderId="37" xfId="4" applyNumberFormat="1" applyFont="1" applyFill="1" applyBorder="1" applyAlignment="1">
      <alignment horizontal="left" vertical="center" shrinkToFit="1"/>
    </xf>
    <xf numFmtId="1" fontId="8" fillId="2" borderId="38" xfId="4" applyNumberFormat="1" applyFont="1" applyFill="1" applyBorder="1" applyAlignment="1">
      <alignment horizontal="left" vertical="center" shrinkToFit="1"/>
    </xf>
    <xf numFmtId="4" fontId="8" fillId="2" borderId="38" xfId="3" applyNumberFormat="1" applyFont="1" applyFill="1" applyBorder="1" applyAlignment="1">
      <alignment horizontal="left" vertical="center"/>
    </xf>
    <xf numFmtId="49" fontId="8" fillId="2" borderId="38" xfId="3" applyNumberFormat="1" applyFont="1" applyFill="1" applyBorder="1" applyAlignment="1">
      <alignment horizontal="center" vertical="center"/>
    </xf>
    <xf numFmtId="4" fontId="8" fillId="2" borderId="39" xfId="3" applyNumberFormat="1" applyFont="1" applyFill="1" applyBorder="1" applyAlignment="1">
      <alignment horizontal="left" vertical="center"/>
    </xf>
    <xf numFmtId="1" fontId="15" fillId="2" borderId="38" xfId="4" applyNumberFormat="1" applyFont="1" applyFill="1" applyBorder="1" applyAlignment="1">
      <alignment horizontal="justify" vertical="justify" wrapText="1"/>
    </xf>
    <xf numFmtId="1" fontId="8" fillId="2" borderId="36" xfId="4" applyNumberFormat="1" applyFont="1" applyFill="1" applyBorder="1" applyAlignment="1">
      <alignment horizontal="left" vertical="center" shrinkToFit="1"/>
    </xf>
    <xf numFmtId="4" fontId="8" fillId="2" borderId="36" xfId="3" applyNumberFormat="1" applyFont="1" applyFill="1" applyBorder="1" applyAlignment="1">
      <alignment horizontal="left" vertical="center"/>
    </xf>
    <xf numFmtId="49" fontId="8" fillId="2" borderId="36" xfId="3" applyNumberFormat="1" applyFont="1" applyFill="1" applyBorder="1" applyAlignment="1">
      <alignment horizontal="center" vertical="center"/>
    </xf>
    <xf numFmtId="1" fontId="15" fillId="2" borderId="36" xfId="4" applyNumberFormat="1" applyFont="1" applyFill="1" applyBorder="1" applyAlignment="1">
      <alignment horizontal="justify" vertical="justify" wrapText="1"/>
    </xf>
    <xf numFmtId="10" fontId="7" fillId="2" borderId="26" xfId="5" applyNumberFormat="1" applyFont="1" applyFill="1" applyBorder="1" applyAlignment="1">
      <alignment horizontal="center" vertical="center" shrinkToFit="1"/>
    </xf>
    <xf numFmtId="9" fontId="8" fillId="2" borderId="36" xfId="5" applyNumberFormat="1" applyFont="1" applyFill="1" applyBorder="1" applyAlignment="1">
      <alignment horizontal="center" vertical="center" shrinkToFit="1"/>
    </xf>
    <xf numFmtId="4" fontId="7" fillId="2" borderId="23" xfId="4" applyNumberFormat="1" applyFont="1" applyFill="1" applyBorder="1" applyAlignment="1">
      <alignment horizontal="center" vertical="center" wrapText="1"/>
    </xf>
    <xf numFmtId="4" fontId="7" fillId="2" borderId="24" xfId="4" applyNumberFormat="1" applyFont="1" applyFill="1" applyBorder="1" applyAlignment="1">
      <alignment horizontal="center" vertical="center" wrapText="1"/>
    </xf>
    <xf numFmtId="0" fontId="12" fillId="2" borderId="6" xfId="4" applyFont="1" applyFill="1" applyBorder="1" applyAlignment="1" applyProtection="1">
      <alignment horizontal="center" vertical="center"/>
    </xf>
    <xf numFmtId="0" fontId="12" fillId="2" borderId="0" xfId="4" applyFont="1" applyFill="1" applyBorder="1" applyAlignment="1" applyProtection="1">
      <alignment horizontal="center" vertical="center"/>
    </xf>
    <xf numFmtId="0" fontId="12" fillId="2" borderId="16" xfId="4" applyFont="1" applyFill="1" applyBorder="1" applyAlignment="1" applyProtection="1">
      <alignment horizontal="center" vertical="center"/>
    </xf>
    <xf numFmtId="1" fontId="7" fillId="2" borderId="25" xfId="4" applyNumberFormat="1" applyFont="1" applyFill="1" applyBorder="1" applyAlignment="1">
      <alignment horizontal="center" vertical="center" shrinkToFit="1"/>
    </xf>
    <xf numFmtId="1" fontId="7" fillId="2" borderId="7" xfId="4" applyNumberFormat="1" applyFont="1" applyFill="1" applyBorder="1" applyAlignment="1">
      <alignment horizontal="center" vertical="center" shrinkToFit="1"/>
    </xf>
    <xf numFmtId="1" fontId="7" fillId="2" borderId="40" xfId="4" applyNumberFormat="1" applyFont="1" applyFill="1" applyBorder="1" applyAlignment="1">
      <alignment horizontal="center" vertical="center" shrinkToFit="1"/>
    </xf>
    <xf numFmtId="0" fontId="8" fillId="2" borderId="25" xfId="4" applyFont="1" applyFill="1" applyBorder="1" applyAlignment="1">
      <alignment horizontal="center"/>
    </xf>
    <xf numFmtId="0" fontId="0" fillId="2" borderId="7" xfId="0" applyFill="1" applyBorder="1"/>
    <xf numFmtId="9" fontId="7" fillId="2" borderId="19" xfId="5" applyNumberFormat="1" applyFont="1" applyFill="1" applyBorder="1" applyAlignment="1">
      <alignment horizontal="center" vertical="center" wrapText="1"/>
    </xf>
    <xf numFmtId="9" fontId="7" fillId="2" borderId="26" xfId="5" applyNumberFormat="1" applyFont="1" applyFill="1" applyBorder="1" applyAlignment="1">
      <alignment horizontal="center" vertical="center" wrapText="1"/>
    </xf>
    <xf numFmtId="0" fontId="7" fillId="2" borderId="27" xfId="4" applyFont="1" applyFill="1" applyBorder="1" applyAlignment="1">
      <alignment horizontal="center" vertical="center" wrapText="1"/>
    </xf>
    <xf numFmtId="0" fontId="7" fillId="2" borderId="28" xfId="4" applyFont="1" applyFill="1" applyBorder="1" applyAlignment="1">
      <alignment horizontal="center" vertical="center" wrapText="1"/>
    </xf>
    <xf numFmtId="0" fontId="7" fillId="2" borderId="29" xfId="4" applyFont="1" applyFill="1" applyBorder="1" applyAlignment="1">
      <alignment horizontal="center" vertical="center" wrapText="1"/>
    </xf>
    <xf numFmtId="0" fontId="7" fillId="2" borderId="30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4" fontId="7" fillId="2" borderId="32" xfId="4" applyNumberFormat="1" applyFont="1" applyFill="1" applyBorder="1" applyAlignment="1">
      <alignment horizontal="center" vertical="center" wrapText="1"/>
    </xf>
    <xf numFmtId="4" fontId="7" fillId="2" borderId="33" xfId="4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/>
    <cellStyle name="Millares_CONS-ENE-MODIF" xfId="3"/>
    <cellStyle name="Normal" xfId="0" builtinId="0"/>
    <cellStyle name="Normal 2" xfId="4"/>
    <cellStyle name="Porcentaje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47625</xdr:rowOff>
    </xdr:from>
    <xdr:to>
      <xdr:col>2</xdr:col>
      <xdr:colOff>190500</xdr:colOff>
      <xdr:row>6</xdr:row>
      <xdr:rowOff>180975</xdr:rowOff>
    </xdr:to>
    <xdr:pic>
      <xdr:nvPicPr>
        <xdr:cNvPr id="1536" name="6 Imagen" descr="logo ministeri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"/>
          <a:ext cx="6096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38100</xdr:colOff>
      <xdr:row>1</xdr:row>
      <xdr:rowOff>57150</xdr:rowOff>
    </xdr:from>
    <xdr:to>
      <xdr:col>21</xdr:col>
      <xdr:colOff>696060</xdr:colOff>
      <xdr:row>7</xdr:row>
      <xdr:rowOff>9525</xdr:rowOff>
    </xdr:to>
    <xdr:pic>
      <xdr:nvPicPr>
        <xdr:cNvPr id="1537" name="7 Imagen" descr="1 logo memo colo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8075" y="114300"/>
          <a:ext cx="1647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61"/>
  <sheetViews>
    <sheetView showGridLines="0" tabSelected="1" showWhiteSpace="0" zoomScale="120" zoomScaleNormal="120" zoomScaleSheetLayoutView="80" zoomScalePageLayoutView="120" workbookViewId="0">
      <selection activeCell="A19" sqref="A1:XFD1048576"/>
    </sheetView>
  </sheetViews>
  <sheetFormatPr baseColWidth="10" defaultColWidth="9.140625" defaultRowHeight="12.75" x14ac:dyDescent="0.2"/>
  <cols>
    <col min="1" max="1" width="4.85546875" style="8" customWidth="1"/>
    <col min="2" max="2" width="4" style="8" customWidth="1"/>
    <col min="3" max="3" width="4.5703125" style="8" customWidth="1"/>
    <col min="4" max="4" width="3.7109375" style="8" customWidth="1"/>
    <col min="5" max="5" width="4.42578125" style="8" customWidth="1"/>
    <col min="6" max="6" width="4.85546875" style="8" customWidth="1"/>
    <col min="7" max="7" width="5.28515625" style="8" customWidth="1"/>
    <col min="8" max="8" width="3.28515625" style="56" customWidth="1"/>
    <col min="9" max="9" width="3.7109375" style="8" customWidth="1"/>
    <col min="10" max="10" width="21.28515625" style="8" customWidth="1"/>
    <col min="11" max="11" width="12.5703125" style="7" customWidth="1"/>
    <col min="12" max="13" width="13.28515625" style="7" customWidth="1"/>
    <col min="14" max="14" width="8.5703125" style="7" customWidth="1"/>
    <col min="15" max="15" width="7.85546875" style="7" customWidth="1"/>
    <col min="16" max="16" width="10.28515625" style="7" customWidth="1"/>
    <col min="17" max="17" width="14.7109375" style="7" customWidth="1"/>
    <col min="18" max="18" width="13.5703125" style="7" customWidth="1"/>
    <col min="19" max="22" width="14.85546875" style="7" customWidth="1"/>
    <col min="23" max="23" width="8.5703125" style="70" customWidth="1"/>
    <col min="24" max="24" width="16.5703125" style="33" customWidth="1"/>
    <col min="25" max="16384" width="9.140625" style="33"/>
  </cols>
  <sheetData>
    <row r="1" spans="1:24" ht="4.5" customHeight="1" thickBot="1" x14ac:dyDescent="0.25"/>
    <row r="2" spans="1:24" s="34" customFormat="1" ht="10.5" customHeight="1" thickTop="1" x14ac:dyDescent="0.25">
      <c r="A2" s="9"/>
      <c r="B2" s="10"/>
      <c r="C2" s="11"/>
      <c r="D2" s="10"/>
      <c r="E2" s="11"/>
      <c r="F2" s="11"/>
      <c r="G2" s="10"/>
      <c r="H2" s="57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71"/>
    </row>
    <row r="3" spans="1:24" s="34" customFormat="1" ht="10.5" customHeight="1" x14ac:dyDescent="0.25">
      <c r="A3" s="12"/>
      <c r="B3" s="13"/>
      <c r="C3" s="14"/>
      <c r="D3" s="13"/>
      <c r="E3" s="14"/>
      <c r="F3" s="15"/>
      <c r="G3" s="13"/>
      <c r="H3" s="5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72"/>
    </row>
    <row r="4" spans="1:24" s="34" customFormat="1" ht="10.5" customHeight="1" x14ac:dyDescent="0.25">
      <c r="A4" s="17"/>
      <c r="B4" s="16"/>
      <c r="C4" s="14"/>
      <c r="D4" s="16"/>
      <c r="E4" s="14"/>
      <c r="F4" s="14"/>
      <c r="G4" s="16"/>
      <c r="H4" s="58"/>
      <c r="I4" s="16"/>
      <c r="J4" s="13"/>
      <c r="K4" s="18"/>
      <c r="L4" s="18"/>
      <c r="M4" s="18"/>
      <c r="N4" s="18"/>
      <c r="O4" s="18"/>
      <c r="P4" s="18"/>
      <c r="Q4" s="18"/>
      <c r="R4" s="73"/>
      <c r="S4" s="13"/>
      <c r="T4" s="18"/>
      <c r="U4" s="18"/>
      <c r="V4" s="16"/>
      <c r="W4" s="74"/>
    </row>
    <row r="5" spans="1:24" s="34" customFormat="1" ht="10.5" customHeight="1" x14ac:dyDescent="0.25">
      <c r="A5" s="19"/>
      <c r="B5" s="20"/>
      <c r="C5" s="18"/>
      <c r="D5" s="21"/>
      <c r="E5" s="20"/>
      <c r="F5" s="14"/>
      <c r="G5" s="20"/>
      <c r="H5" s="59"/>
      <c r="I5" s="20"/>
      <c r="J5" s="22"/>
      <c r="K5" s="18"/>
      <c r="L5" s="18"/>
      <c r="M5" s="18"/>
      <c r="N5" s="18"/>
      <c r="O5" s="18"/>
      <c r="P5" s="18"/>
      <c r="Q5" s="18"/>
      <c r="R5" s="75"/>
      <c r="S5" s="75"/>
      <c r="T5" s="18"/>
      <c r="U5" s="18"/>
      <c r="V5" s="76"/>
      <c r="W5" s="77"/>
    </row>
    <row r="6" spans="1:24" s="34" customFormat="1" ht="15" x14ac:dyDescent="0.2">
      <c r="A6" s="122" t="s">
        <v>137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4"/>
    </row>
    <row r="7" spans="1:24" s="34" customFormat="1" ht="24.75" customHeight="1" x14ac:dyDescent="0.2">
      <c r="A7" s="23"/>
      <c r="B7" s="22"/>
      <c r="C7" s="18"/>
      <c r="D7" s="21"/>
      <c r="E7" s="22"/>
      <c r="F7" s="22"/>
      <c r="G7" s="22"/>
      <c r="H7" s="60"/>
      <c r="I7" s="18"/>
      <c r="J7" s="24"/>
      <c r="K7" s="18"/>
      <c r="L7" s="18"/>
      <c r="M7" s="18"/>
      <c r="N7" s="18"/>
      <c r="O7" s="18"/>
      <c r="P7" s="18"/>
      <c r="Q7" s="18"/>
      <c r="R7" s="18"/>
      <c r="S7" s="18"/>
      <c r="T7" s="25"/>
      <c r="U7" s="18"/>
      <c r="V7" s="78"/>
      <c r="W7" s="79"/>
    </row>
    <row r="8" spans="1:24" s="34" customFormat="1" ht="11.25" customHeight="1" x14ac:dyDescent="0.25">
      <c r="A8" s="23"/>
      <c r="B8" s="25" t="s">
        <v>156</v>
      </c>
      <c r="C8" s="14"/>
      <c r="D8" s="21"/>
      <c r="E8" s="65"/>
      <c r="F8" s="22"/>
      <c r="G8" s="22"/>
      <c r="H8" s="60"/>
      <c r="I8" s="18"/>
      <c r="J8" s="24"/>
      <c r="K8" s="18"/>
      <c r="L8" s="18"/>
      <c r="M8" s="18"/>
      <c r="N8" s="18"/>
      <c r="O8" s="18"/>
      <c r="P8" s="18"/>
      <c r="Q8" s="18"/>
      <c r="R8" s="18"/>
      <c r="S8" s="18"/>
      <c r="T8" s="78" t="s">
        <v>140</v>
      </c>
      <c r="U8" s="80">
        <v>2017</v>
      </c>
      <c r="V8" s="78"/>
      <c r="W8" s="79"/>
    </row>
    <row r="9" spans="1:24" s="34" customFormat="1" ht="11.25" customHeight="1" x14ac:dyDescent="0.25">
      <c r="A9" s="23"/>
      <c r="B9" s="25" t="s">
        <v>157</v>
      </c>
      <c r="C9" s="14"/>
      <c r="D9" s="21"/>
      <c r="E9" s="65"/>
      <c r="F9" s="22"/>
      <c r="G9" s="22"/>
      <c r="H9" s="60"/>
      <c r="I9" s="18"/>
      <c r="J9" s="24"/>
      <c r="K9" s="18"/>
      <c r="L9" s="18"/>
      <c r="M9" s="18"/>
      <c r="N9" s="18"/>
      <c r="O9" s="18"/>
      <c r="P9" s="32"/>
      <c r="Q9" s="18"/>
      <c r="R9" s="18"/>
      <c r="S9" s="18"/>
      <c r="T9" s="78" t="s">
        <v>154</v>
      </c>
      <c r="U9" s="78" t="s">
        <v>175</v>
      </c>
      <c r="V9" s="78"/>
      <c r="W9" s="79"/>
    </row>
    <row r="10" spans="1:24" s="34" customFormat="1" ht="8.25" customHeight="1" thickBot="1" x14ac:dyDescent="0.25">
      <c r="A10" s="128"/>
      <c r="B10" s="129"/>
      <c r="C10" s="129"/>
      <c r="D10" s="129"/>
      <c r="E10" s="129"/>
      <c r="F10" s="129"/>
      <c r="G10" s="129"/>
      <c r="H10" s="129"/>
      <c r="I10" s="129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81"/>
      <c r="U10" s="82"/>
      <c r="V10" s="83"/>
      <c r="W10" s="84"/>
    </row>
    <row r="11" spans="1:24" ht="12.75" customHeight="1" thickTop="1" thickBot="1" x14ac:dyDescent="0.25">
      <c r="A11" s="132" t="s">
        <v>126</v>
      </c>
      <c r="B11" s="133"/>
      <c r="C11" s="133"/>
      <c r="D11" s="133"/>
      <c r="E11" s="133"/>
      <c r="F11" s="133"/>
      <c r="G11" s="133"/>
      <c r="H11" s="133"/>
      <c r="I11" s="134"/>
      <c r="J11" s="135" t="s">
        <v>9</v>
      </c>
      <c r="K11" s="120" t="s">
        <v>153</v>
      </c>
      <c r="L11" s="137" t="s">
        <v>148</v>
      </c>
      <c r="M11" s="138"/>
      <c r="N11" s="93"/>
      <c r="O11" s="93"/>
      <c r="P11" s="93"/>
      <c r="Q11" s="93"/>
      <c r="R11" s="120" t="s">
        <v>127</v>
      </c>
      <c r="S11" s="120" t="s">
        <v>128</v>
      </c>
      <c r="T11" s="120" t="s">
        <v>129</v>
      </c>
      <c r="U11" s="120" t="s">
        <v>130</v>
      </c>
      <c r="V11" s="120" t="s">
        <v>131</v>
      </c>
      <c r="W11" s="130" t="s">
        <v>138</v>
      </c>
    </row>
    <row r="12" spans="1:24" ht="21" customHeight="1" thickTop="1" thickBot="1" x14ac:dyDescent="0.25">
      <c r="A12" s="28" t="s">
        <v>0</v>
      </c>
      <c r="B12" s="28" t="s">
        <v>1</v>
      </c>
      <c r="C12" s="28" t="s">
        <v>2</v>
      </c>
      <c r="D12" s="28" t="s">
        <v>3</v>
      </c>
      <c r="E12" s="28" t="s">
        <v>4</v>
      </c>
      <c r="F12" s="28" t="s">
        <v>5</v>
      </c>
      <c r="G12" s="29" t="s">
        <v>6</v>
      </c>
      <c r="H12" s="61" t="s">
        <v>7</v>
      </c>
      <c r="I12" s="30" t="s">
        <v>8</v>
      </c>
      <c r="J12" s="136"/>
      <c r="K12" s="121"/>
      <c r="L12" s="31" t="s">
        <v>149</v>
      </c>
      <c r="M12" s="31" t="s">
        <v>150</v>
      </c>
      <c r="N12" s="94" t="s">
        <v>159</v>
      </c>
      <c r="O12" s="94" t="s">
        <v>151</v>
      </c>
      <c r="P12" s="94" t="s">
        <v>152</v>
      </c>
      <c r="Q12" s="94" t="s">
        <v>139</v>
      </c>
      <c r="R12" s="121"/>
      <c r="S12" s="121"/>
      <c r="T12" s="121"/>
      <c r="U12" s="121"/>
      <c r="V12" s="121"/>
      <c r="W12" s="131"/>
      <c r="X12" s="55"/>
    </row>
    <row r="13" spans="1:24" s="35" customFormat="1" ht="14.25" thickTop="1" thickBot="1" x14ac:dyDescent="0.25">
      <c r="A13" s="39" t="s">
        <v>10</v>
      </c>
      <c r="B13" s="40"/>
      <c r="C13" s="40"/>
      <c r="D13" s="40"/>
      <c r="E13" s="40"/>
      <c r="F13" s="40"/>
      <c r="G13" s="40"/>
      <c r="H13" s="62"/>
      <c r="I13" s="41"/>
      <c r="J13" s="40" t="s">
        <v>135</v>
      </c>
      <c r="K13" s="1">
        <f t="shared" ref="K13:V13" si="0">K14+K53+K134</f>
        <v>44313738000</v>
      </c>
      <c r="L13" s="1">
        <f t="shared" si="0"/>
        <v>4332933012.4799995</v>
      </c>
      <c r="M13" s="1">
        <f t="shared" si="0"/>
        <v>4332933012.4799995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44313738000</v>
      </c>
      <c r="R13" s="1">
        <f t="shared" si="0"/>
        <v>41616901170.480003</v>
      </c>
      <c r="S13" s="1">
        <f t="shared" si="0"/>
        <v>29717065050.639999</v>
      </c>
      <c r="T13" s="1">
        <f t="shared" si="0"/>
        <v>24738950305.260002</v>
      </c>
      <c r="U13" s="1">
        <f t="shared" si="0"/>
        <v>24699816565.260002</v>
      </c>
      <c r="V13" s="1">
        <f t="shared" si="0"/>
        <v>24698738579.260002</v>
      </c>
      <c r="W13" s="85">
        <f t="shared" ref="W13:W44" si="1">S13/Q13</f>
        <v>0.6706061459008491</v>
      </c>
      <c r="X13" s="36"/>
    </row>
    <row r="14" spans="1:24" s="35" customFormat="1" ht="12" customHeight="1" thickTop="1" x14ac:dyDescent="0.2">
      <c r="A14" s="39" t="s">
        <v>10</v>
      </c>
      <c r="B14" s="40" t="s">
        <v>11</v>
      </c>
      <c r="C14" s="40"/>
      <c r="D14" s="40"/>
      <c r="E14" s="40"/>
      <c r="F14" s="40"/>
      <c r="G14" s="40"/>
      <c r="H14" s="62"/>
      <c r="I14" s="41"/>
      <c r="J14" s="40" t="s">
        <v>97</v>
      </c>
      <c r="K14" s="1">
        <f t="shared" ref="K14:V14" si="2">K15+K39+K42</f>
        <v>26504327000</v>
      </c>
      <c r="L14" s="1">
        <f t="shared" si="2"/>
        <v>163258643.5</v>
      </c>
      <c r="M14" s="1">
        <f t="shared" si="2"/>
        <v>163258643.5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26504327000</v>
      </c>
      <c r="R14" s="1">
        <f t="shared" si="2"/>
        <v>25717405919.5</v>
      </c>
      <c r="S14" s="1">
        <f t="shared" si="2"/>
        <v>16786760750</v>
      </c>
      <c r="T14" s="1">
        <f t="shared" si="2"/>
        <v>15099717731</v>
      </c>
      <c r="U14" s="1">
        <f t="shared" si="2"/>
        <v>15099717731</v>
      </c>
      <c r="V14" s="1">
        <f t="shared" si="2"/>
        <v>15099717731</v>
      </c>
      <c r="W14" s="86">
        <f t="shared" si="1"/>
        <v>0.63335925300046292</v>
      </c>
      <c r="X14" s="36"/>
    </row>
    <row r="15" spans="1:24" s="35" customFormat="1" ht="20.25" customHeight="1" x14ac:dyDescent="0.2">
      <c r="A15" s="42" t="s">
        <v>10</v>
      </c>
      <c r="B15" s="43" t="s">
        <v>11</v>
      </c>
      <c r="C15" s="43" t="s">
        <v>12</v>
      </c>
      <c r="D15" s="43" t="s">
        <v>11</v>
      </c>
      <c r="E15" s="44"/>
      <c r="F15" s="44"/>
      <c r="G15" s="44"/>
      <c r="H15" s="63"/>
      <c r="I15" s="45"/>
      <c r="J15" s="46" t="s">
        <v>96</v>
      </c>
      <c r="K15" s="2">
        <f>K16+K20+K23+K35</f>
        <v>17092355000</v>
      </c>
      <c r="L15" s="2">
        <f>L16+L20+L23+L35</f>
        <v>37026000</v>
      </c>
      <c r="M15" s="2">
        <f>M16+M20+M23+M35</f>
        <v>37026000</v>
      </c>
      <c r="N15" s="2">
        <f t="shared" ref="N15:U15" si="3">N16+N20+N23+N35</f>
        <v>0</v>
      </c>
      <c r="O15" s="2">
        <f t="shared" si="3"/>
        <v>0</v>
      </c>
      <c r="P15" s="2">
        <f t="shared" si="3"/>
        <v>0</v>
      </c>
      <c r="Q15" s="2">
        <f>Q16+Q20+Q23+Q35</f>
        <v>17092355000</v>
      </c>
      <c r="R15" s="2">
        <f t="shared" si="3"/>
        <v>16765369072</v>
      </c>
      <c r="S15" s="2">
        <f t="shared" si="3"/>
        <v>9830037957</v>
      </c>
      <c r="T15" s="2">
        <f t="shared" si="3"/>
        <v>9828565853</v>
      </c>
      <c r="U15" s="2">
        <f t="shared" si="3"/>
        <v>9828565853</v>
      </c>
      <c r="V15" s="2">
        <f>V16+V20+V23+V35</f>
        <v>9828565853</v>
      </c>
      <c r="W15" s="87">
        <f t="shared" si="1"/>
        <v>0.57511314017290183</v>
      </c>
      <c r="X15" s="36"/>
    </row>
    <row r="16" spans="1:24" s="35" customFormat="1" x14ac:dyDescent="0.2">
      <c r="A16" s="42" t="s">
        <v>10</v>
      </c>
      <c r="B16" s="43" t="s">
        <v>11</v>
      </c>
      <c r="C16" s="43" t="s">
        <v>12</v>
      </c>
      <c r="D16" s="43" t="s">
        <v>11</v>
      </c>
      <c r="E16" s="44" t="s">
        <v>11</v>
      </c>
      <c r="F16" s="44"/>
      <c r="G16" s="44"/>
      <c r="H16" s="63"/>
      <c r="I16" s="45" t="s">
        <v>15</v>
      </c>
      <c r="J16" s="43" t="s">
        <v>95</v>
      </c>
      <c r="K16" s="2">
        <f>SUM(K17:K19)</f>
        <v>10821663000</v>
      </c>
      <c r="L16" s="2">
        <f t="shared" ref="L16:V16" si="4">SUM(L17:L19)</f>
        <v>0</v>
      </c>
      <c r="M16" s="2">
        <f>SUM(M17:M19)</f>
        <v>0</v>
      </c>
      <c r="N16" s="2">
        <f t="shared" si="4"/>
        <v>0</v>
      </c>
      <c r="O16" s="2">
        <f t="shared" si="4"/>
        <v>0</v>
      </c>
      <c r="P16" s="2">
        <f t="shared" si="4"/>
        <v>0</v>
      </c>
      <c r="Q16" s="2">
        <f>SUM(Q17:Q19)</f>
        <v>10821663000</v>
      </c>
      <c r="R16" s="2">
        <f>SUM(R17:R19)</f>
        <v>10716187099</v>
      </c>
      <c r="S16" s="2">
        <f>SUM(S17:S19)</f>
        <v>6653508029</v>
      </c>
      <c r="T16" s="2">
        <f t="shared" si="4"/>
        <v>6652035925</v>
      </c>
      <c r="U16" s="2">
        <f t="shared" si="4"/>
        <v>6652035925</v>
      </c>
      <c r="V16" s="2">
        <f t="shared" si="4"/>
        <v>6652035925</v>
      </c>
      <c r="W16" s="88">
        <f t="shared" si="1"/>
        <v>0.61483230710473979</v>
      </c>
      <c r="X16" s="36"/>
    </row>
    <row r="17" spans="1:25" s="38" customFormat="1" x14ac:dyDescent="0.2">
      <c r="A17" s="47" t="s">
        <v>10</v>
      </c>
      <c r="B17" s="48" t="s">
        <v>11</v>
      </c>
      <c r="C17" s="48" t="s">
        <v>12</v>
      </c>
      <c r="D17" s="48" t="s">
        <v>11</v>
      </c>
      <c r="E17" s="49" t="s">
        <v>11</v>
      </c>
      <c r="F17" s="49" t="s">
        <v>11</v>
      </c>
      <c r="G17" s="49" t="s">
        <v>13</v>
      </c>
      <c r="H17" s="64" t="s">
        <v>14</v>
      </c>
      <c r="I17" s="50" t="s">
        <v>15</v>
      </c>
      <c r="J17" s="48" t="s">
        <v>16</v>
      </c>
      <c r="K17" s="6">
        <v>10388511967</v>
      </c>
      <c r="L17" s="6"/>
      <c r="M17" s="6"/>
      <c r="N17" s="6"/>
      <c r="O17" s="6"/>
      <c r="P17" s="6"/>
      <c r="Q17" s="6">
        <f>K17-L17+M17-N17-O17+P17</f>
        <v>10388511967</v>
      </c>
      <c r="R17" s="6">
        <v>10324236066</v>
      </c>
      <c r="S17" s="6">
        <v>6305578035</v>
      </c>
      <c r="T17" s="6">
        <v>6305578035</v>
      </c>
      <c r="U17" s="6">
        <v>6305578035</v>
      </c>
      <c r="V17" s="6">
        <v>6305578035</v>
      </c>
      <c r="W17" s="89">
        <f t="shared" si="1"/>
        <v>0.60697605730543602</v>
      </c>
      <c r="X17" s="36"/>
      <c r="Y17" s="37"/>
    </row>
    <row r="18" spans="1:25" s="38" customFormat="1" x14ac:dyDescent="0.2">
      <c r="A18" s="47" t="s">
        <v>10</v>
      </c>
      <c r="B18" s="48" t="s">
        <v>11</v>
      </c>
      <c r="C18" s="48" t="s">
        <v>12</v>
      </c>
      <c r="D18" s="48" t="s">
        <v>11</v>
      </c>
      <c r="E18" s="49" t="s">
        <v>11</v>
      </c>
      <c r="F18" s="49" t="s">
        <v>17</v>
      </c>
      <c r="G18" s="49" t="s">
        <v>13</v>
      </c>
      <c r="H18" s="64" t="s">
        <v>14</v>
      </c>
      <c r="I18" s="50" t="s">
        <v>15</v>
      </c>
      <c r="J18" s="48" t="s">
        <v>18</v>
      </c>
      <c r="K18" s="6">
        <v>349151033</v>
      </c>
      <c r="L18" s="6"/>
      <c r="M18" s="6"/>
      <c r="N18" s="6"/>
      <c r="O18" s="6"/>
      <c r="P18" s="6"/>
      <c r="Q18" s="6">
        <f>K18-L18+M18-N18-O18+P18</f>
        <v>349151033</v>
      </c>
      <c r="R18" s="6">
        <v>307951033</v>
      </c>
      <c r="S18" s="6">
        <v>306311226</v>
      </c>
      <c r="T18" s="6">
        <v>306311226</v>
      </c>
      <c r="U18" s="6">
        <v>306311226</v>
      </c>
      <c r="V18" s="6">
        <v>306311226</v>
      </c>
      <c r="W18" s="89">
        <f t="shared" si="1"/>
        <v>0.87730293497370238</v>
      </c>
      <c r="X18" s="36"/>
    </row>
    <row r="19" spans="1:25" s="38" customFormat="1" x14ac:dyDescent="0.2">
      <c r="A19" s="47" t="s">
        <v>10</v>
      </c>
      <c r="B19" s="48" t="s">
        <v>11</v>
      </c>
      <c r="C19" s="48" t="s">
        <v>12</v>
      </c>
      <c r="D19" s="48" t="s">
        <v>11</v>
      </c>
      <c r="E19" s="49" t="s">
        <v>11</v>
      </c>
      <c r="F19" s="49" t="s">
        <v>19</v>
      </c>
      <c r="G19" s="49" t="s">
        <v>13</v>
      </c>
      <c r="H19" s="64" t="s">
        <v>14</v>
      </c>
      <c r="I19" s="50" t="s">
        <v>15</v>
      </c>
      <c r="J19" s="48" t="s">
        <v>20</v>
      </c>
      <c r="K19" s="6">
        <v>84000000</v>
      </c>
      <c r="L19" s="6"/>
      <c r="M19" s="6"/>
      <c r="N19" s="6"/>
      <c r="O19" s="6"/>
      <c r="P19" s="6"/>
      <c r="Q19" s="6">
        <f>K19-L19+M19-N19-O19+P19</f>
        <v>84000000</v>
      </c>
      <c r="R19" s="6">
        <v>84000000</v>
      </c>
      <c r="S19" s="6">
        <v>41618768</v>
      </c>
      <c r="T19" s="6">
        <v>40146664</v>
      </c>
      <c r="U19" s="6">
        <v>40146664</v>
      </c>
      <c r="V19" s="6">
        <v>40146664</v>
      </c>
      <c r="W19" s="89">
        <f t="shared" si="1"/>
        <v>0.4954615238095238</v>
      </c>
      <c r="X19" s="36"/>
    </row>
    <row r="20" spans="1:25" s="35" customFormat="1" ht="11.25" customHeight="1" x14ac:dyDescent="0.2">
      <c r="A20" s="42" t="s">
        <v>10</v>
      </c>
      <c r="B20" s="43" t="s">
        <v>11</v>
      </c>
      <c r="C20" s="43" t="s">
        <v>12</v>
      </c>
      <c r="D20" s="43" t="s">
        <v>11</v>
      </c>
      <c r="E20" s="44" t="s">
        <v>19</v>
      </c>
      <c r="F20" s="44"/>
      <c r="G20" s="44"/>
      <c r="H20" s="63"/>
      <c r="I20" s="45" t="s">
        <v>15</v>
      </c>
      <c r="J20" s="43" t="s">
        <v>98</v>
      </c>
      <c r="K20" s="4">
        <f>SUM(K21:K22)</f>
        <v>543249000</v>
      </c>
      <c r="L20" s="4">
        <f t="shared" ref="L20:V20" si="5">SUM(L21:L22)</f>
        <v>24000000</v>
      </c>
      <c r="M20" s="4">
        <f t="shared" si="5"/>
        <v>24000000</v>
      </c>
      <c r="N20" s="4">
        <f t="shared" si="5"/>
        <v>0</v>
      </c>
      <c r="O20" s="4">
        <f t="shared" si="5"/>
        <v>0</v>
      </c>
      <c r="P20" s="4">
        <f t="shared" si="5"/>
        <v>0</v>
      </c>
      <c r="Q20" s="4">
        <f>SUM(Q21:Q22)</f>
        <v>543249000</v>
      </c>
      <c r="R20" s="4">
        <f t="shared" si="5"/>
        <v>526326133</v>
      </c>
      <c r="S20" s="4">
        <f>SUM(S21:S22)</f>
        <v>370337077</v>
      </c>
      <c r="T20" s="4">
        <f t="shared" si="5"/>
        <v>370337077</v>
      </c>
      <c r="U20" s="4">
        <f t="shared" si="5"/>
        <v>370337077</v>
      </c>
      <c r="V20" s="4">
        <f t="shared" si="5"/>
        <v>370337077</v>
      </c>
      <c r="W20" s="90">
        <f t="shared" si="1"/>
        <v>0.68170779329552378</v>
      </c>
      <c r="X20" s="36"/>
    </row>
    <row r="21" spans="1:25" s="38" customFormat="1" x14ac:dyDescent="0.2">
      <c r="A21" s="47" t="s">
        <v>10</v>
      </c>
      <c r="B21" s="48" t="s">
        <v>11</v>
      </c>
      <c r="C21" s="48" t="s">
        <v>12</v>
      </c>
      <c r="D21" s="48" t="s">
        <v>11</v>
      </c>
      <c r="E21" s="49" t="s">
        <v>19</v>
      </c>
      <c r="F21" s="54">
        <v>1</v>
      </c>
      <c r="G21" s="49" t="s">
        <v>13</v>
      </c>
      <c r="H21" s="64" t="s">
        <v>14</v>
      </c>
      <c r="I21" s="50" t="s">
        <v>15</v>
      </c>
      <c r="J21" s="48" t="s">
        <v>155</v>
      </c>
      <c r="K21" s="6">
        <v>63298396</v>
      </c>
      <c r="L21" s="6"/>
      <c r="M21" s="6">
        <v>24000000</v>
      </c>
      <c r="N21" s="6"/>
      <c r="O21" s="6"/>
      <c r="P21" s="6"/>
      <c r="Q21" s="6">
        <f>K21-L21+M21-N21-O21+P21</f>
        <v>87298396</v>
      </c>
      <c r="R21" s="6">
        <v>87298396</v>
      </c>
      <c r="S21" s="6">
        <v>36563854</v>
      </c>
      <c r="T21" s="6">
        <v>36563854</v>
      </c>
      <c r="U21" s="6">
        <v>36563854</v>
      </c>
      <c r="V21" s="6">
        <v>36563854</v>
      </c>
      <c r="W21" s="89">
        <f t="shared" si="1"/>
        <v>0.41883763820815217</v>
      </c>
      <c r="X21" s="36"/>
    </row>
    <row r="22" spans="1:25" s="38" customFormat="1" ht="11.25" customHeight="1" x14ac:dyDescent="0.2">
      <c r="A22" s="47" t="s">
        <v>10</v>
      </c>
      <c r="B22" s="48" t="s">
        <v>11</v>
      </c>
      <c r="C22" s="48" t="s">
        <v>12</v>
      </c>
      <c r="D22" s="48" t="s">
        <v>11</v>
      </c>
      <c r="E22" s="49" t="s">
        <v>19</v>
      </c>
      <c r="F22" s="49" t="s">
        <v>17</v>
      </c>
      <c r="G22" s="49" t="s">
        <v>13</v>
      </c>
      <c r="H22" s="64" t="s">
        <v>14</v>
      </c>
      <c r="I22" s="50" t="s">
        <v>15</v>
      </c>
      <c r="J22" s="48" t="s">
        <v>21</v>
      </c>
      <c r="K22" s="6">
        <v>479950604</v>
      </c>
      <c r="L22" s="6">
        <v>24000000</v>
      </c>
      <c r="M22" s="6"/>
      <c r="N22" s="6"/>
      <c r="O22" s="6"/>
      <c r="P22" s="6"/>
      <c r="Q22" s="6">
        <f>K22-L22+M22-N22-O22+P22</f>
        <v>455950604</v>
      </c>
      <c r="R22" s="6">
        <v>439027737</v>
      </c>
      <c r="S22" s="6">
        <v>333773223</v>
      </c>
      <c r="T22" s="6">
        <v>333773223</v>
      </c>
      <c r="U22" s="6">
        <v>333773223</v>
      </c>
      <c r="V22" s="6">
        <v>333773223</v>
      </c>
      <c r="W22" s="89">
        <f t="shared" si="1"/>
        <v>0.73203812007670899</v>
      </c>
      <c r="X22" s="36"/>
    </row>
    <row r="23" spans="1:25" s="35" customFormat="1" x14ac:dyDescent="0.2">
      <c r="A23" s="42" t="s">
        <v>10</v>
      </c>
      <c r="B23" s="43" t="s">
        <v>11</v>
      </c>
      <c r="C23" s="43" t="s">
        <v>12</v>
      </c>
      <c r="D23" s="43" t="s">
        <v>11</v>
      </c>
      <c r="E23" s="44" t="s">
        <v>22</v>
      </c>
      <c r="F23" s="44"/>
      <c r="G23" s="44"/>
      <c r="H23" s="63"/>
      <c r="I23" s="45" t="s">
        <v>15</v>
      </c>
      <c r="J23" s="43" t="s">
        <v>99</v>
      </c>
      <c r="K23" s="4">
        <f>SUM(K24:K34)</f>
        <v>3863091000</v>
      </c>
      <c r="L23" s="4">
        <f t="shared" ref="L23:V23" si="6">SUM(L24:L34)</f>
        <v>13026000</v>
      </c>
      <c r="M23" s="4">
        <f t="shared" si="6"/>
        <v>13026000</v>
      </c>
      <c r="N23" s="4">
        <f t="shared" si="6"/>
        <v>0</v>
      </c>
      <c r="O23" s="4">
        <f t="shared" si="6"/>
        <v>0</v>
      </c>
      <c r="P23" s="4">
        <f t="shared" si="6"/>
        <v>0</v>
      </c>
      <c r="Q23" s="4">
        <f>SUM(Q24:Q34)</f>
        <v>3863091000</v>
      </c>
      <c r="R23" s="4">
        <f>SUM(R24:R34)</f>
        <v>3658503840</v>
      </c>
      <c r="S23" s="4">
        <f>SUM(S24:S34)</f>
        <v>1875891507</v>
      </c>
      <c r="T23" s="4">
        <f t="shared" si="6"/>
        <v>1875891507</v>
      </c>
      <c r="U23" s="4">
        <f t="shared" si="6"/>
        <v>1875891507</v>
      </c>
      <c r="V23" s="4">
        <f t="shared" si="6"/>
        <v>1875891507</v>
      </c>
      <c r="W23" s="90">
        <f t="shared" si="1"/>
        <v>0.48559340357242425</v>
      </c>
      <c r="X23" s="36"/>
    </row>
    <row r="24" spans="1:25" s="38" customFormat="1" x14ac:dyDescent="0.2">
      <c r="A24" s="47" t="s">
        <v>10</v>
      </c>
      <c r="B24" s="48" t="s">
        <v>11</v>
      </c>
      <c r="C24" s="48" t="s">
        <v>12</v>
      </c>
      <c r="D24" s="48" t="s">
        <v>11</v>
      </c>
      <c r="E24" s="49" t="s">
        <v>22</v>
      </c>
      <c r="F24" s="49" t="s">
        <v>17</v>
      </c>
      <c r="G24" s="49" t="s">
        <v>13</v>
      </c>
      <c r="H24" s="64" t="s">
        <v>14</v>
      </c>
      <c r="I24" s="50" t="s">
        <v>15</v>
      </c>
      <c r="J24" s="48" t="s">
        <v>23</v>
      </c>
      <c r="K24" s="6">
        <v>378119347</v>
      </c>
      <c r="L24" s="6"/>
      <c r="M24" s="6"/>
      <c r="N24" s="6"/>
      <c r="O24" s="6"/>
      <c r="P24" s="6"/>
      <c r="Q24" s="6">
        <f t="shared" ref="Q24:Q34" si="7">K24-L24+M24-N24-O24+P24</f>
        <v>378119347</v>
      </c>
      <c r="R24" s="6">
        <v>360332381</v>
      </c>
      <c r="S24" s="6">
        <v>252157327</v>
      </c>
      <c r="T24" s="6">
        <v>252157327</v>
      </c>
      <c r="U24" s="6">
        <v>252157327</v>
      </c>
      <c r="V24" s="6">
        <v>252157327</v>
      </c>
      <c r="W24" s="89">
        <f t="shared" si="1"/>
        <v>0.66687232219302439</v>
      </c>
      <c r="X24" s="36"/>
    </row>
    <row r="25" spans="1:25" s="38" customFormat="1" x14ac:dyDescent="0.2">
      <c r="A25" s="47" t="s">
        <v>10</v>
      </c>
      <c r="B25" s="48" t="s">
        <v>11</v>
      </c>
      <c r="C25" s="48" t="s">
        <v>12</v>
      </c>
      <c r="D25" s="48" t="s">
        <v>11</v>
      </c>
      <c r="E25" s="49" t="s">
        <v>22</v>
      </c>
      <c r="F25" s="49" t="s">
        <v>22</v>
      </c>
      <c r="G25" s="49" t="s">
        <v>13</v>
      </c>
      <c r="H25" s="64" t="s">
        <v>14</v>
      </c>
      <c r="I25" s="50" t="s">
        <v>15</v>
      </c>
      <c r="J25" s="48" t="s">
        <v>24</v>
      </c>
      <c r="K25" s="6">
        <v>129024565</v>
      </c>
      <c r="L25" s="6"/>
      <c r="M25" s="6"/>
      <c r="N25" s="6"/>
      <c r="O25" s="6"/>
      <c r="P25" s="6"/>
      <c r="Q25" s="6">
        <f t="shared" si="7"/>
        <v>129024565</v>
      </c>
      <c r="R25" s="6">
        <v>110165943</v>
      </c>
      <c r="S25" s="6">
        <v>27310726</v>
      </c>
      <c r="T25" s="6">
        <v>27310726</v>
      </c>
      <c r="U25" s="6">
        <v>27310726</v>
      </c>
      <c r="V25" s="6">
        <v>27310726</v>
      </c>
      <c r="W25" s="89">
        <f t="shared" si="1"/>
        <v>0.21167074657449919</v>
      </c>
      <c r="X25" s="36"/>
    </row>
    <row r="26" spans="1:25" s="38" customFormat="1" x14ac:dyDescent="0.2">
      <c r="A26" s="47" t="s">
        <v>10</v>
      </c>
      <c r="B26" s="48" t="s">
        <v>11</v>
      </c>
      <c r="C26" s="48" t="s">
        <v>12</v>
      </c>
      <c r="D26" s="48" t="s">
        <v>11</v>
      </c>
      <c r="E26" s="49" t="s">
        <v>22</v>
      </c>
      <c r="F26" s="49" t="s">
        <v>25</v>
      </c>
      <c r="G26" s="49" t="s">
        <v>13</v>
      </c>
      <c r="H26" s="64" t="s">
        <v>14</v>
      </c>
      <c r="I26" s="50" t="s">
        <v>15</v>
      </c>
      <c r="J26" s="48" t="s">
        <v>26</v>
      </c>
      <c r="K26" s="6">
        <v>144192267</v>
      </c>
      <c r="L26" s="6"/>
      <c r="M26" s="6"/>
      <c r="N26" s="6"/>
      <c r="O26" s="6"/>
      <c r="P26" s="6"/>
      <c r="Q26" s="6">
        <f t="shared" si="7"/>
        <v>144192267</v>
      </c>
      <c r="R26" s="6">
        <v>132556791</v>
      </c>
      <c r="S26" s="6">
        <v>78424903</v>
      </c>
      <c r="T26" s="6">
        <v>78424903</v>
      </c>
      <c r="U26" s="6">
        <v>78424903</v>
      </c>
      <c r="V26" s="6">
        <v>78424903</v>
      </c>
      <c r="W26" s="89">
        <f t="shared" si="1"/>
        <v>0.54389118523256175</v>
      </c>
      <c r="X26" s="36"/>
    </row>
    <row r="27" spans="1:25" s="38" customFormat="1" x14ac:dyDescent="0.2">
      <c r="A27" s="47" t="s">
        <v>10</v>
      </c>
      <c r="B27" s="48" t="s">
        <v>11</v>
      </c>
      <c r="C27" s="48" t="s">
        <v>12</v>
      </c>
      <c r="D27" s="48" t="s">
        <v>11</v>
      </c>
      <c r="E27" s="49" t="s">
        <v>22</v>
      </c>
      <c r="F27" s="49" t="s">
        <v>27</v>
      </c>
      <c r="G27" s="49" t="s">
        <v>13</v>
      </c>
      <c r="H27" s="64" t="s">
        <v>14</v>
      </c>
      <c r="I27" s="50" t="s">
        <v>15</v>
      </c>
      <c r="J27" s="48" t="s">
        <v>28</v>
      </c>
      <c r="K27" s="6">
        <v>115696870</v>
      </c>
      <c r="L27" s="6"/>
      <c r="M27" s="6"/>
      <c r="N27" s="6"/>
      <c r="O27" s="6"/>
      <c r="P27" s="6"/>
      <c r="Q27" s="6">
        <f t="shared" si="7"/>
        <v>115696870</v>
      </c>
      <c r="R27" s="6">
        <v>100530195</v>
      </c>
      <c r="S27" s="6">
        <v>77257299</v>
      </c>
      <c r="T27" s="6">
        <v>77257299</v>
      </c>
      <c r="U27" s="6">
        <v>77257299</v>
      </c>
      <c r="V27" s="6">
        <v>77257299</v>
      </c>
      <c r="W27" s="89">
        <f t="shared" si="1"/>
        <v>0.66775617179617741</v>
      </c>
      <c r="X27" s="36"/>
    </row>
    <row r="28" spans="1:25" s="38" customFormat="1" x14ac:dyDescent="0.2">
      <c r="A28" s="47" t="s">
        <v>10</v>
      </c>
      <c r="B28" s="48" t="s">
        <v>11</v>
      </c>
      <c r="C28" s="48" t="s">
        <v>12</v>
      </c>
      <c r="D28" s="48" t="s">
        <v>11</v>
      </c>
      <c r="E28" s="49" t="s">
        <v>22</v>
      </c>
      <c r="F28" s="49" t="s">
        <v>29</v>
      </c>
      <c r="G28" s="49" t="s">
        <v>13</v>
      </c>
      <c r="H28" s="64" t="s">
        <v>14</v>
      </c>
      <c r="I28" s="50" t="s">
        <v>15</v>
      </c>
      <c r="J28" s="48" t="s">
        <v>30</v>
      </c>
      <c r="K28" s="6">
        <v>533323043</v>
      </c>
      <c r="L28" s="6"/>
      <c r="M28" s="6"/>
      <c r="N28" s="6"/>
      <c r="O28" s="6"/>
      <c r="P28" s="6"/>
      <c r="Q28" s="6">
        <f t="shared" si="7"/>
        <v>533323043</v>
      </c>
      <c r="R28" s="6">
        <v>516340313</v>
      </c>
      <c r="S28" s="6">
        <v>506012773</v>
      </c>
      <c r="T28" s="6">
        <v>506012773</v>
      </c>
      <c r="U28" s="6">
        <v>506012773</v>
      </c>
      <c r="V28" s="6">
        <v>506012773</v>
      </c>
      <c r="W28" s="89">
        <f t="shared" si="1"/>
        <v>0.94879225572857917</v>
      </c>
      <c r="X28" s="36"/>
    </row>
    <row r="29" spans="1:25" s="38" customFormat="1" x14ac:dyDescent="0.2">
      <c r="A29" s="47" t="s">
        <v>10</v>
      </c>
      <c r="B29" s="48" t="s">
        <v>11</v>
      </c>
      <c r="C29" s="48" t="s">
        <v>12</v>
      </c>
      <c r="D29" s="48" t="s">
        <v>11</v>
      </c>
      <c r="E29" s="49" t="s">
        <v>22</v>
      </c>
      <c r="F29" s="49" t="s">
        <v>31</v>
      </c>
      <c r="G29" s="49" t="s">
        <v>13</v>
      </c>
      <c r="H29" s="64" t="s">
        <v>14</v>
      </c>
      <c r="I29" s="50" t="s">
        <v>15</v>
      </c>
      <c r="J29" s="48" t="s">
        <v>32</v>
      </c>
      <c r="K29" s="6">
        <v>700515005</v>
      </c>
      <c r="L29" s="6"/>
      <c r="M29" s="6"/>
      <c r="N29" s="6"/>
      <c r="O29" s="6"/>
      <c r="P29" s="6"/>
      <c r="Q29" s="6">
        <f t="shared" si="7"/>
        <v>700515005</v>
      </c>
      <c r="R29" s="6">
        <v>659521949</v>
      </c>
      <c r="S29" s="6">
        <v>297158946</v>
      </c>
      <c r="T29" s="6">
        <v>297158946</v>
      </c>
      <c r="U29" s="6">
        <v>297158946</v>
      </c>
      <c r="V29" s="6">
        <v>297158946</v>
      </c>
      <c r="W29" s="89">
        <f t="shared" si="1"/>
        <v>0.42420068646495301</v>
      </c>
      <c r="X29" s="36"/>
    </row>
    <row r="30" spans="1:25" s="38" customFormat="1" x14ac:dyDescent="0.2">
      <c r="A30" s="47" t="s">
        <v>10</v>
      </c>
      <c r="B30" s="48" t="s">
        <v>11</v>
      </c>
      <c r="C30" s="48" t="s">
        <v>12</v>
      </c>
      <c r="D30" s="48" t="s">
        <v>11</v>
      </c>
      <c r="E30" s="49" t="s">
        <v>22</v>
      </c>
      <c r="F30" s="49" t="s">
        <v>33</v>
      </c>
      <c r="G30" s="49" t="s">
        <v>13</v>
      </c>
      <c r="H30" s="64" t="s">
        <v>14</v>
      </c>
      <c r="I30" s="50" t="s">
        <v>15</v>
      </c>
      <c r="J30" s="48" t="s">
        <v>34</v>
      </c>
      <c r="K30" s="6">
        <v>1074666452</v>
      </c>
      <c r="L30" s="6">
        <v>13026000</v>
      </c>
      <c r="M30" s="6"/>
      <c r="N30" s="6"/>
      <c r="O30" s="6"/>
      <c r="P30" s="6"/>
      <c r="Q30" s="6">
        <f t="shared" si="7"/>
        <v>1061640452</v>
      </c>
      <c r="R30" s="6">
        <v>1027476817</v>
      </c>
      <c r="S30" s="6">
        <v>7965302</v>
      </c>
      <c r="T30" s="6">
        <v>7965302</v>
      </c>
      <c r="U30" s="6">
        <v>7965302</v>
      </c>
      <c r="V30" s="6">
        <v>7965302</v>
      </c>
      <c r="W30" s="89">
        <f t="shared" si="1"/>
        <v>7.5028245061634106E-3</v>
      </c>
      <c r="X30" s="36"/>
    </row>
    <row r="31" spans="1:25" s="38" customFormat="1" x14ac:dyDescent="0.2">
      <c r="A31" s="47" t="s">
        <v>10</v>
      </c>
      <c r="B31" s="48" t="s">
        <v>11</v>
      </c>
      <c r="C31" s="48" t="s">
        <v>12</v>
      </c>
      <c r="D31" s="48" t="s">
        <v>11</v>
      </c>
      <c r="E31" s="49" t="s">
        <v>22</v>
      </c>
      <c r="F31" s="49" t="s">
        <v>35</v>
      </c>
      <c r="G31" s="49" t="s">
        <v>13</v>
      </c>
      <c r="H31" s="64" t="s">
        <v>14</v>
      </c>
      <c r="I31" s="50" t="s">
        <v>15</v>
      </c>
      <c r="J31" s="48" t="s">
        <v>36</v>
      </c>
      <c r="K31" s="6">
        <v>99812791</v>
      </c>
      <c r="L31" s="6"/>
      <c r="M31" s="6"/>
      <c r="N31" s="6"/>
      <c r="O31" s="6"/>
      <c r="P31" s="6"/>
      <c r="Q31" s="6">
        <f t="shared" si="7"/>
        <v>99812791</v>
      </c>
      <c r="R31" s="6">
        <v>99812791</v>
      </c>
      <c r="S31" s="6">
        <v>56224358</v>
      </c>
      <c r="T31" s="6">
        <v>56224358</v>
      </c>
      <c r="U31" s="6">
        <v>56224358</v>
      </c>
      <c r="V31" s="6">
        <v>56224358</v>
      </c>
      <c r="W31" s="89">
        <f t="shared" si="1"/>
        <v>0.56329812478643138</v>
      </c>
      <c r="X31" s="36"/>
    </row>
    <row r="32" spans="1:25" s="38" customFormat="1" x14ac:dyDescent="0.2">
      <c r="A32" s="47" t="s">
        <v>10</v>
      </c>
      <c r="B32" s="48" t="s">
        <v>11</v>
      </c>
      <c r="C32" s="48" t="s">
        <v>12</v>
      </c>
      <c r="D32" s="48" t="s">
        <v>11</v>
      </c>
      <c r="E32" s="49" t="s">
        <v>22</v>
      </c>
      <c r="F32" s="49" t="s">
        <v>37</v>
      </c>
      <c r="G32" s="49" t="s">
        <v>13</v>
      </c>
      <c r="H32" s="64" t="s">
        <v>14</v>
      </c>
      <c r="I32" s="50" t="s">
        <v>15</v>
      </c>
      <c r="J32" s="48" t="s">
        <v>38</v>
      </c>
      <c r="K32" s="6">
        <v>385906269</v>
      </c>
      <c r="L32" s="6"/>
      <c r="M32" s="6">
        <v>13026000</v>
      </c>
      <c r="N32" s="6"/>
      <c r="O32" s="6"/>
      <c r="P32" s="6"/>
      <c r="Q32" s="6">
        <f t="shared" si="7"/>
        <v>398932269</v>
      </c>
      <c r="R32" s="6">
        <v>398932269</v>
      </c>
      <c r="S32" s="6">
        <v>398931999</v>
      </c>
      <c r="T32" s="6">
        <v>398931999</v>
      </c>
      <c r="U32" s="6">
        <v>398931999</v>
      </c>
      <c r="V32" s="6">
        <v>398931999</v>
      </c>
      <c r="W32" s="89">
        <f t="shared" si="1"/>
        <v>0.99999932319338147</v>
      </c>
      <c r="X32" s="36"/>
    </row>
    <row r="33" spans="1:24" s="38" customFormat="1" x14ac:dyDescent="0.2">
      <c r="A33" s="47" t="s">
        <v>10</v>
      </c>
      <c r="B33" s="48" t="s">
        <v>11</v>
      </c>
      <c r="C33" s="48" t="s">
        <v>12</v>
      </c>
      <c r="D33" s="48" t="s">
        <v>11</v>
      </c>
      <c r="E33" s="49" t="s">
        <v>22</v>
      </c>
      <c r="F33" s="49" t="s">
        <v>39</v>
      </c>
      <c r="G33" s="49" t="s">
        <v>13</v>
      </c>
      <c r="H33" s="64" t="s">
        <v>14</v>
      </c>
      <c r="I33" s="50" t="s">
        <v>15</v>
      </c>
      <c r="J33" s="48" t="s">
        <v>40</v>
      </c>
      <c r="K33" s="6">
        <v>249813425</v>
      </c>
      <c r="L33" s="6"/>
      <c r="M33" s="6"/>
      <c r="N33" s="6"/>
      <c r="O33" s="6"/>
      <c r="P33" s="6"/>
      <c r="Q33" s="6">
        <f t="shared" si="7"/>
        <v>249813425</v>
      </c>
      <c r="R33" s="6">
        <v>200813425</v>
      </c>
      <c r="S33" s="6">
        <v>146763510</v>
      </c>
      <c r="T33" s="6">
        <v>146763510</v>
      </c>
      <c r="U33" s="6">
        <v>146763510</v>
      </c>
      <c r="V33" s="6">
        <v>146763510</v>
      </c>
      <c r="W33" s="89">
        <f t="shared" si="1"/>
        <v>0.5874924856420346</v>
      </c>
      <c r="X33" s="36"/>
    </row>
    <row r="34" spans="1:24" s="38" customFormat="1" x14ac:dyDescent="0.2">
      <c r="A34" s="47" t="s">
        <v>10</v>
      </c>
      <c r="B34" s="48" t="s">
        <v>11</v>
      </c>
      <c r="C34" s="48" t="s">
        <v>12</v>
      </c>
      <c r="D34" s="48" t="s">
        <v>11</v>
      </c>
      <c r="E34" s="49" t="s">
        <v>22</v>
      </c>
      <c r="F34" s="49" t="s">
        <v>41</v>
      </c>
      <c r="G34" s="49" t="s">
        <v>13</v>
      </c>
      <c r="H34" s="64" t="s">
        <v>14</v>
      </c>
      <c r="I34" s="50" t="s">
        <v>15</v>
      </c>
      <c r="J34" s="48" t="s">
        <v>42</v>
      </c>
      <c r="K34" s="6">
        <v>52020966</v>
      </c>
      <c r="L34" s="6"/>
      <c r="M34" s="6"/>
      <c r="N34" s="6"/>
      <c r="O34" s="6"/>
      <c r="P34" s="6"/>
      <c r="Q34" s="6">
        <f t="shared" si="7"/>
        <v>52020966</v>
      </c>
      <c r="R34" s="6">
        <v>52020966</v>
      </c>
      <c r="S34" s="6">
        <v>27684364</v>
      </c>
      <c r="T34" s="6">
        <v>27684364</v>
      </c>
      <c r="U34" s="6">
        <v>27684364</v>
      </c>
      <c r="V34" s="6">
        <v>27684364</v>
      </c>
      <c r="W34" s="89">
        <f t="shared" si="1"/>
        <v>0.53217704569346136</v>
      </c>
      <c r="X34" s="36"/>
    </row>
    <row r="35" spans="1:24" s="35" customFormat="1" ht="36" x14ac:dyDescent="0.2">
      <c r="A35" s="42" t="s">
        <v>10</v>
      </c>
      <c r="B35" s="43" t="s">
        <v>11</v>
      </c>
      <c r="C35" s="43" t="s">
        <v>12</v>
      </c>
      <c r="D35" s="43" t="s">
        <v>11</v>
      </c>
      <c r="E35" s="44" t="s">
        <v>43</v>
      </c>
      <c r="F35" s="44"/>
      <c r="G35" s="44"/>
      <c r="H35" s="63"/>
      <c r="I35" s="45" t="s">
        <v>15</v>
      </c>
      <c r="J35" s="46" t="s">
        <v>100</v>
      </c>
      <c r="K35" s="4">
        <f t="shared" ref="K35:V35" si="8">SUM(K36:K38)</f>
        <v>1864352000</v>
      </c>
      <c r="L35" s="4">
        <f t="shared" si="8"/>
        <v>0</v>
      </c>
      <c r="M35" s="4">
        <f t="shared" si="8"/>
        <v>0</v>
      </c>
      <c r="N35" s="4">
        <f t="shared" si="8"/>
        <v>0</v>
      </c>
      <c r="O35" s="4">
        <f t="shared" si="8"/>
        <v>0</v>
      </c>
      <c r="P35" s="4">
        <f t="shared" si="8"/>
        <v>0</v>
      </c>
      <c r="Q35" s="99">
        <f>SUM(Q36:Q38)</f>
        <v>1864352000</v>
      </c>
      <c r="R35" s="4">
        <f>SUM(R36:R38)</f>
        <v>1864352000</v>
      </c>
      <c r="S35" s="4">
        <f>SUM(S36:S38)</f>
        <v>930301344</v>
      </c>
      <c r="T35" s="4">
        <f t="shared" si="8"/>
        <v>930301344</v>
      </c>
      <c r="U35" s="4">
        <f t="shared" si="8"/>
        <v>930301344</v>
      </c>
      <c r="V35" s="4">
        <f t="shared" si="8"/>
        <v>930301344</v>
      </c>
      <c r="W35" s="90">
        <f t="shared" si="1"/>
        <v>0.49899447314670192</v>
      </c>
      <c r="X35" s="36"/>
    </row>
    <row r="36" spans="1:24" s="38" customFormat="1" x14ac:dyDescent="0.2">
      <c r="A36" s="47" t="s">
        <v>10</v>
      </c>
      <c r="B36" s="48" t="s">
        <v>11</v>
      </c>
      <c r="C36" s="48" t="s">
        <v>12</v>
      </c>
      <c r="D36" s="48" t="s">
        <v>11</v>
      </c>
      <c r="E36" s="49" t="s">
        <v>43</v>
      </c>
      <c r="F36" s="49" t="s">
        <v>11</v>
      </c>
      <c r="G36" s="49" t="s">
        <v>13</v>
      </c>
      <c r="H36" s="64" t="s">
        <v>14</v>
      </c>
      <c r="I36" s="50" t="s">
        <v>15</v>
      </c>
      <c r="J36" s="48" t="s">
        <v>44</v>
      </c>
      <c r="K36" s="6">
        <v>843612588</v>
      </c>
      <c r="L36" s="6"/>
      <c r="M36" s="6"/>
      <c r="N36" s="6"/>
      <c r="O36" s="6"/>
      <c r="P36" s="6"/>
      <c r="Q36" s="6">
        <f>K36-L36+M36-N36-O36+P36</f>
        <v>843612588</v>
      </c>
      <c r="R36" s="6">
        <v>843612588</v>
      </c>
      <c r="S36" s="6">
        <v>352217363</v>
      </c>
      <c r="T36" s="6">
        <v>352217363</v>
      </c>
      <c r="U36" s="6">
        <v>352217363</v>
      </c>
      <c r="V36" s="6">
        <v>352217363</v>
      </c>
      <c r="W36" s="89">
        <f t="shared" si="1"/>
        <v>0.41751079584412271</v>
      </c>
      <c r="X36" s="36"/>
    </row>
    <row r="37" spans="1:24" s="38" customFormat="1" x14ac:dyDescent="0.2">
      <c r="A37" s="47" t="s">
        <v>10</v>
      </c>
      <c r="B37" s="48" t="s">
        <v>11</v>
      </c>
      <c r="C37" s="48" t="s">
        <v>12</v>
      </c>
      <c r="D37" s="48" t="s">
        <v>11</v>
      </c>
      <c r="E37" s="49" t="s">
        <v>43</v>
      </c>
      <c r="F37" s="49" t="s">
        <v>17</v>
      </c>
      <c r="G37" s="49" t="s">
        <v>13</v>
      </c>
      <c r="H37" s="64" t="s">
        <v>14</v>
      </c>
      <c r="I37" s="50" t="s">
        <v>15</v>
      </c>
      <c r="J37" s="48" t="s">
        <v>45</v>
      </c>
      <c r="K37" s="6">
        <v>968882722</v>
      </c>
      <c r="L37" s="6"/>
      <c r="M37" s="6"/>
      <c r="N37" s="6"/>
      <c r="O37" s="6"/>
      <c r="P37" s="6"/>
      <c r="Q37" s="6">
        <f>K37-L37+M37-N37-O37+P37</f>
        <v>968882722</v>
      </c>
      <c r="R37" s="6">
        <v>968882722</v>
      </c>
      <c r="S37" s="6">
        <v>545836458</v>
      </c>
      <c r="T37" s="6">
        <v>545836458</v>
      </c>
      <c r="U37" s="6">
        <v>545836458</v>
      </c>
      <c r="V37" s="6">
        <v>545836458</v>
      </c>
      <c r="W37" s="89">
        <f t="shared" si="1"/>
        <v>0.5633669025217688</v>
      </c>
      <c r="X37" s="36"/>
    </row>
    <row r="38" spans="1:24" s="38" customFormat="1" x14ac:dyDescent="0.2">
      <c r="A38" s="47" t="s">
        <v>10</v>
      </c>
      <c r="B38" s="48" t="s">
        <v>11</v>
      </c>
      <c r="C38" s="48" t="s">
        <v>12</v>
      </c>
      <c r="D38" s="48" t="s">
        <v>11</v>
      </c>
      <c r="E38" s="49" t="s">
        <v>43</v>
      </c>
      <c r="F38" s="49" t="s">
        <v>46</v>
      </c>
      <c r="G38" s="49" t="s">
        <v>13</v>
      </c>
      <c r="H38" s="64" t="s">
        <v>14</v>
      </c>
      <c r="I38" s="50" t="s">
        <v>15</v>
      </c>
      <c r="J38" s="48" t="s">
        <v>47</v>
      </c>
      <c r="K38" s="6">
        <v>51856690</v>
      </c>
      <c r="L38" s="6"/>
      <c r="M38" s="6"/>
      <c r="N38" s="6"/>
      <c r="O38" s="6"/>
      <c r="P38" s="6"/>
      <c r="Q38" s="6">
        <f>K38-L38+M38-N38-O38+P38</f>
        <v>51856690</v>
      </c>
      <c r="R38" s="6">
        <v>51856690</v>
      </c>
      <c r="S38" s="6">
        <v>32247523</v>
      </c>
      <c r="T38" s="6">
        <v>32247523</v>
      </c>
      <c r="U38" s="6">
        <v>32247523</v>
      </c>
      <c r="V38" s="6">
        <v>32247523</v>
      </c>
      <c r="W38" s="89">
        <f t="shared" si="1"/>
        <v>0.62185849116092828</v>
      </c>
      <c r="X38" s="36"/>
    </row>
    <row r="39" spans="1:24" s="35" customFormat="1" ht="18.75" customHeight="1" x14ac:dyDescent="0.2">
      <c r="A39" s="42" t="s">
        <v>10</v>
      </c>
      <c r="B39" s="43" t="s">
        <v>11</v>
      </c>
      <c r="C39" s="43" t="s">
        <v>12</v>
      </c>
      <c r="D39" s="43" t="s">
        <v>17</v>
      </c>
      <c r="E39" s="44"/>
      <c r="F39" s="44"/>
      <c r="G39" s="44"/>
      <c r="H39" s="63"/>
      <c r="I39" s="45"/>
      <c r="J39" s="43" t="s">
        <v>101</v>
      </c>
      <c r="K39" s="4">
        <f t="shared" ref="K39:V39" si="9">SUM(K40:K41)</f>
        <v>4208681000</v>
      </c>
      <c r="L39" s="4">
        <f t="shared" si="9"/>
        <v>126232643.5</v>
      </c>
      <c r="M39" s="4">
        <f t="shared" si="9"/>
        <v>126232643.5</v>
      </c>
      <c r="N39" s="4">
        <f t="shared" si="9"/>
        <v>0</v>
      </c>
      <c r="O39" s="4">
        <f t="shared" si="9"/>
        <v>0</v>
      </c>
      <c r="P39" s="4">
        <f t="shared" si="9"/>
        <v>0</v>
      </c>
      <c r="Q39" s="4">
        <f t="shared" si="9"/>
        <v>4208681000</v>
      </c>
      <c r="R39" s="4">
        <f>SUM(R40:R41)</f>
        <v>3904923602.5</v>
      </c>
      <c r="S39" s="4">
        <f t="shared" si="9"/>
        <v>3647914035</v>
      </c>
      <c r="T39" s="4">
        <f t="shared" si="9"/>
        <v>1962343120</v>
      </c>
      <c r="U39" s="4">
        <f t="shared" si="9"/>
        <v>1962343120</v>
      </c>
      <c r="V39" s="4">
        <f t="shared" si="9"/>
        <v>1962343120</v>
      </c>
      <c r="W39" s="90">
        <f t="shared" si="1"/>
        <v>0.86675945147660272</v>
      </c>
      <c r="X39" s="36"/>
    </row>
    <row r="40" spans="1:24" s="38" customFormat="1" ht="11.25" customHeight="1" x14ac:dyDescent="0.2">
      <c r="A40" s="47" t="s">
        <v>10</v>
      </c>
      <c r="B40" s="48" t="s">
        <v>11</v>
      </c>
      <c r="C40" s="48" t="s">
        <v>12</v>
      </c>
      <c r="D40" s="48" t="s">
        <v>17</v>
      </c>
      <c r="E40" s="49" t="s">
        <v>25</v>
      </c>
      <c r="F40" s="49"/>
      <c r="G40" s="49" t="s">
        <v>13</v>
      </c>
      <c r="H40" s="64" t="s">
        <v>14</v>
      </c>
      <c r="I40" s="50" t="s">
        <v>15</v>
      </c>
      <c r="J40" s="48" t="s">
        <v>48</v>
      </c>
      <c r="K40" s="6">
        <v>3661217305</v>
      </c>
      <c r="L40" s="6">
        <f>30000000+875000</f>
        <v>30875000</v>
      </c>
      <c r="M40" s="6">
        <f>19599095+75758548.5</f>
        <v>95357643.5</v>
      </c>
      <c r="N40" s="6"/>
      <c r="O40" s="6"/>
      <c r="P40" s="6"/>
      <c r="Q40" s="6">
        <f>K40-L40+M40-N40-O40+P40</f>
        <v>3725699948.5</v>
      </c>
      <c r="R40" s="6">
        <v>3453175699</v>
      </c>
      <c r="S40" s="6">
        <v>3233789389</v>
      </c>
      <c r="T40" s="6">
        <v>1742402489</v>
      </c>
      <c r="U40" s="6">
        <v>1742402489</v>
      </c>
      <c r="V40" s="6">
        <v>1742402489</v>
      </c>
      <c r="W40" s="89">
        <f t="shared" si="1"/>
        <v>0.86796828346360866</v>
      </c>
      <c r="X40" s="36"/>
    </row>
    <row r="41" spans="1:24" s="38" customFormat="1" ht="11.25" customHeight="1" x14ac:dyDescent="0.2">
      <c r="A41" s="47" t="s">
        <v>10</v>
      </c>
      <c r="B41" s="48" t="s">
        <v>11</v>
      </c>
      <c r="C41" s="48" t="s">
        <v>12</v>
      </c>
      <c r="D41" s="48" t="s">
        <v>17</v>
      </c>
      <c r="E41" s="49" t="s">
        <v>29</v>
      </c>
      <c r="F41" s="49"/>
      <c r="G41" s="49" t="s">
        <v>13</v>
      </c>
      <c r="H41" s="64" t="s">
        <v>14</v>
      </c>
      <c r="I41" s="50" t="s">
        <v>15</v>
      </c>
      <c r="J41" s="48" t="s">
        <v>141</v>
      </c>
      <c r="K41" s="6">
        <v>547463695</v>
      </c>
      <c r="L41" s="6">
        <f>19599095+75758548.5</f>
        <v>95357643.5</v>
      </c>
      <c r="M41" s="6">
        <f>30000000+875000</f>
        <v>30875000</v>
      </c>
      <c r="N41" s="6"/>
      <c r="O41" s="6"/>
      <c r="P41" s="6"/>
      <c r="Q41" s="6">
        <f>K41-L41+M41-N41-O41+P41</f>
        <v>482981051.5</v>
      </c>
      <c r="R41" s="6">
        <v>451747903.5</v>
      </c>
      <c r="S41" s="6">
        <v>414124646</v>
      </c>
      <c r="T41" s="6">
        <v>219940631</v>
      </c>
      <c r="U41" s="6">
        <v>219940631</v>
      </c>
      <c r="V41" s="6">
        <v>219940631</v>
      </c>
      <c r="W41" s="89">
        <f t="shared" si="1"/>
        <v>0.85743456128112716</v>
      </c>
      <c r="X41" s="36"/>
    </row>
    <row r="42" spans="1:24" s="35" customFormat="1" ht="36" x14ac:dyDescent="0.2">
      <c r="A42" s="42" t="s">
        <v>10</v>
      </c>
      <c r="B42" s="43" t="s">
        <v>11</v>
      </c>
      <c r="C42" s="43" t="s">
        <v>12</v>
      </c>
      <c r="D42" s="43" t="s">
        <v>22</v>
      </c>
      <c r="E42" s="44"/>
      <c r="F42" s="44"/>
      <c r="G42" s="44"/>
      <c r="H42" s="63"/>
      <c r="I42" s="45"/>
      <c r="J42" s="46" t="s">
        <v>102</v>
      </c>
      <c r="K42" s="4">
        <f>K43+K48+K51+K52</f>
        <v>5203291000</v>
      </c>
      <c r="L42" s="4">
        <f t="shared" ref="L42:U42" si="10">L43+L48+L51+L52</f>
        <v>0</v>
      </c>
      <c r="M42" s="4">
        <f t="shared" si="10"/>
        <v>0</v>
      </c>
      <c r="N42" s="4">
        <f t="shared" si="10"/>
        <v>0</v>
      </c>
      <c r="O42" s="4">
        <f t="shared" si="10"/>
        <v>0</v>
      </c>
      <c r="P42" s="4">
        <f t="shared" si="10"/>
        <v>0</v>
      </c>
      <c r="Q42" s="4">
        <f>Q43+Q48</f>
        <v>5203291000</v>
      </c>
      <c r="R42" s="4">
        <f>R43+R48</f>
        <v>5047113245</v>
      </c>
      <c r="S42" s="4">
        <f>S43+S48</f>
        <v>3308808758</v>
      </c>
      <c r="T42" s="4">
        <f t="shared" si="10"/>
        <v>3308808758</v>
      </c>
      <c r="U42" s="4">
        <f t="shared" si="10"/>
        <v>3308808758</v>
      </c>
      <c r="V42" s="4">
        <f>V43+V48</f>
        <v>3308808758</v>
      </c>
      <c r="W42" s="90">
        <f t="shared" si="1"/>
        <v>0.63590692083145073</v>
      </c>
      <c r="X42" s="36"/>
    </row>
    <row r="43" spans="1:24" s="35" customFormat="1" ht="27.75" customHeight="1" x14ac:dyDescent="0.2">
      <c r="A43" s="42" t="s">
        <v>10</v>
      </c>
      <c r="B43" s="43" t="s">
        <v>11</v>
      </c>
      <c r="C43" s="43" t="s">
        <v>12</v>
      </c>
      <c r="D43" s="43" t="s">
        <v>22</v>
      </c>
      <c r="E43" s="51">
        <v>1</v>
      </c>
      <c r="F43" s="44"/>
      <c r="G43" s="44"/>
      <c r="H43" s="63"/>
      <c r="I43" s="45" t="s">
        <v>15</v>
      </c>
      <c r="J43" s="43" t="s">
        <v>104</v>
      </c>
      <c r="K43" s="4">
        <f>SUM(K44:K47)</f>
        <v>2400000000</v>
      </c>
      <c r="L43" s="4">
        <f t="shared" ref="L43:U43" si="11">SUM(L44:L47)</f>
        <v>0</v>
      </c>
      <c r="M43" s="4">
        <f t="shared" si="11"/>
        <v>0</v>
      </c>
      <c r="N43" s="4">
        <f t="shared" si="11"/>
        <v>0</v>
      </c>
      <c r="O43" s="4">
        <f t="shared" si="11"/>
        <v>0</v>
      </c>
      <c r="P43" s="4">
        <f t="shared" si="11"/>
        <v>0</v>
      </c>
      <c r="Q43" s="4">
        <f>SUM(Q44:Q47)</f>
        <v>2400000000</v>
      </c>
      <c r="R43" s="4">
        <f>SUM(R44:R47)</f>
        <v>2324984940</v>
      </c>
      <c r="S43" s="4">
        <f>SUM(S44:S47)</f>
        <v>1465605940</v>
      </c>
      <c r="T43" s="4">
        <f t="shared" si="11"/>
        <v>1465605940</v>
      </c>
      <c r="U43" s="4">
        <f t="shared" si="11"/>
        <v>1465605940</v>
      </c>
      <c r="V43" s="4">
        <f>SUM(V44:V47)</f>
        <v>1465605940</v>
      </c>
      <c r="W43" s="90">
        <f t="shared" si="1"/>
        <v>0.61066914166666664</v>
      </c>
      <c r="X43" s="36"/>
    </row>
    <row r="44" spans="1:24" s="38" customFormat="1" x14ac:dyDescent="0.2">
      <c r="A44" s="47" t="s">
        <v>10</v>
      </c>
      <c r="B44" s="48" t="s">
        <v>11</v>
      </c>
      <c r="C44" s="48" t="s">
        <v>12</v>
      </c>
      <c r="D44" s="48" t="s">
        <v>22</v>
      </c>
      <c r="E44" s="49" t="s">
        <v>11</v>
      </c>
      <c r="F44" s="49" t="s">
        <v>11</v>
      </c>
      <c r="G44" s="49" t="s">
        <v>13</v>
      </c>
      <c r="H44" s="64" t="s">
        <v>14</v>
      </c>
      <c r="I44" s="50" t="s">
        <v>15</v>
      </c>
      <c r="J44" s="48" t="s">
        <v>49</v>
      </c>
      <c r="K44" s="6">
        <v>529230702</v>
      </c>
      <c r="L44" s="6"/>
      <c r="M44" s="6"/>
      <c r="N44" s="6"/>
      <c r="O44" s="6"/>
      <c r="P44" s="6"/>
      <c r="Q44" s="6">
        <f>K44-L44+M44-N44-O44+P44</f>
        <v>529230702</v>
      </c>
      <c r="R44" s="6">
        <v>507180040</v>
      </c>
      <c r="S44" s="6">
        <v>358945240</v>
      </c>
      <c r="T44" s="6">
        <v>358945240</v>
      </c>
      <c r="U44" s="6">
        <v>358945240</v>
      </c>
      <c r="V44" s="6">
        <v>358945240</v>
      </c>
      <c r="W44" s="89">
        <f t="shared" si="1"/>
        <v>0.67823963848567503</v>
      </c>
      <c r="X44" s="36"/>
    </row>
    <row r="45" spans="1:24" s="38" customFormat="1" ht="18" x14ac:dyDescent="0.2">
      <c r="A45" s="47" t="s">
        <v>10</v>
      </c>
      <c r="B45" s="48" t="s">
        <v>11</v>
      </c>
      <c r="C45" s="48" t="s">
        <v>12</v>
      </c>
      <c r="D45" s="48" t="s">
        <v>22</v>
      </c>
      <c r="E45" s="49" t="s">
        <v>11</v>
      </c>
      <c r="F45" s="49" t="s">
        <v>46</v>
      </c>
      <c r="G45" s="49" t="s">
        <v>13</v>
      </c>
      <c r="H45" s="64" t="s">
        <v>14</v>
      </c>
      <c r="I45" s="50" t="s">
        <v>15</v>
      </c>
      <c r="J45" s="52" t="s">
        <v>50</v>
      </c>
      <c r="K45" s="6">
        <v>396191269</v>
      </c>
      <c r="L45" s="6"/>
      <c r="M45" s="6"/>
      <c r="N45" s="6"/>
      <c r="O45" s="6"/>
      <c r="P45" s="6"/>
      <c r="Q45" s="6">
        <f>K45-L45+M45-N45-O45+P45</f>
        <v>396191269</v>
      </c>
      <c r="R45" s="6">
        <v>386912200</v>
      </c>
      <c r="S45" s="6">
        <v>290580800</v>
      </c>
      <c r="T45" s="6">
        <v>290580800</v>
      </c>
      <c r="U45" s="6">
        <v>290580800</v>
      </c>
      <c r="V45" s="6">
        <v>290580800</v>
      </c>
      <c r="W45" s="89">
        <f t="shared" ref="W45:W81" si="12">S45/Q45</f>
        <v>0.73343564771994008</v>
      </c>
      <c r="X45" s="36"/>
    </row>
    <row r="46" spans="1:24" s="38" customFormat="1" x14ac:dyDescent="0.2">
      <c r="A46" s="47" t="s">
        <v>10</v>
      </c>
      <c r="B46" s="48" t="s">
        <v>11</v>
      </c>
      <c r="C46" s="48" t="s">
        <v>12</v>
      </c>
      <c r="D46" s="48" t="s">
        <v>22</v>
      </c>
      <c r="E46" s="49" t="s">
        <v>11</v>
      </c>
      <c r="F46" s="49" t="s">
        <v>19</v>
      </c>
      <c r="G46" s="49" t="s">
        <v>13</v>
      </c>
      <c r="H46" s="64" t="s">
        <v>14</v>
      </c>
      <c r="I46" s="50" t="s">
        <v>15</v>
      </c>
      <c r="J46" s="48" t="s">
        <v>51</v>
      </c>
      <c r="K46" s="6">
        <v>1081746127</v>
      </c>
      <c r="L46" s="6"/>
      <c r="M46" s="6"/>
      <c r="N46" s="6"/>
      <c r="O46" s="6"/>
      <c r="P46" s="6"/>
      <c r="Q46" s="6">
        <f>K46-L46+M46-N46-O46+P46</f>
        <v>1081746127</v>
      </c>
      <c r="R46" s="6">
        <v>1059096300</v>
      </c>
      <c r="S46" s="6">
        <v>645827800</v>
      </c>
      <c r="T46" s="6">
        <v>645827800</v>
      </c>
      <c r="U46" s="6">
        <v>645827800</v>
      </c>
      <c r="V46" s="6">
        <v>645827800</v>
      </c>
      <c r="W46" s="89">
        <f t="shared" si="12"/>
        <v>0.59702344559445786</v>
      </c>
      <c r="X46" s="36"/>
    </row>
    <row r="47" spans="1:24" s="38" customFormat="1" ht="33" customHeight="1" x14ac:dyDescent="0.2">
      <c r="A47" s="47" t="s">
        <v>10</v>
      </c>
      <c r="B47" s="48" t="s">
        <v>11</v>
      </c>
      <c r="C47" s="48" t="s">
        <v>12</v>
      </c>
      <c r="D47" s="48" t="s">
        <v>22</v>
      </c>
      <c r="E47" s="49" t="s">
        <v>11</v>
      </c>
      <c r="F47" s="49" t="s">
        <v>22</v>
      </c>
      <c r="G47" s="49" t="s">
        <v>13</v>
      </c>
      <c r="H47" s="64" t="s">
        <v>14</v>
      </c>
      <c r="I47" s="50" t="s">
        <v>15</v>
      </c>
      <c r="J47" s="53" t="s">
        <v>52</v>
      </c>
      <c r="K47" s="6">
        <v>392831902</v>
      </c>
      <c r="L47" s="6"/>
      <c r="M47" s="6"/>
      <c r="N47" s="6"/>
      <c r="O47" s="6"/>
      <c r="P47" s="6"/>
      <c r="Q47" s="6">
        <f>K47-L47+M47-N47-O47+P47</f>
        <v>392831902</v>
      </c>
      <c r="R47" s="6">
        <v>371796400</v>
      </c>
      <c r="S47" s="6">
        <v>170252100</v>
      </c>
      <c r="T47" s="6">
        <v>170252100</v>
      </c>
      <c r="U47" s="6">
        <v>170252100</v>
      </c>
      <c r="V47" s="6">
        <v>170252100</v>
      </c>
      <c r="W47" s="89">
        <f t="shared" si="12"/>
        <v>0.43339682732793938</v>
      </c>
      <c r="X47" s="36"/>
    </row>
    <row r="48" spans="1:24" s="35" customFormat="1" ht="14.25" customHeight="1" x14ac:dyDescent="0.2">
      <c r="A48" s="42" t="s">
        <v>10</v>
      </c>
      <c r="B48" s="43" t="s">
        <v>11</v>
      </c>
      <c r="C48" s="43" t="s">
        <v>12</v>
      </c>
      <c r="D48" s="43" t="s">
        <v>22</v>
      </c>
      <c r="E48" s="51">
        <v>2</v>
      </c>
      <c r="F48" s="44"/>
      <c r="G48" s="44"/>
      <c r="H48" s="63"/>
      <c r="I48" s="45" t="s">
        <v>15</v>
      </c>
      <c r="J48" s="43" t="s">
        <v>105</v>
      </c>
      <c r="K48" s="4">
        <f>SUM(K49:K50)</f>
        <v>2103291000</v>
      </c>
      <c r="L48" s="4">
        <f t="shared" ref="L48:U48" si="13">SUM(L49:L50)</f>
        <v>0</v>
      </c>
      <c r="M48" s="4">
        <f t="shared" si="13"/>
        <v>0</v>
      </c>
      <c r="N48" s="4">
        <f t="shared" si="13"/>
        <v>0</v>
      </c>
      <c r="O48" s="4">
        <f t="shared" si="13"/>
        <v>0</v>
      </c>
      <c r="P48" s="4">
        <f t="shared" si="13"/>
        <v>0</v>
      </c>
      <c r="Q48" s="4">
        <f>SUM(Q49:Q52)</f>
        <v>2803291000</v>
      </c>
      <c r="R48" s="4">
        <f>SUM(R49:R52)</f>
        <v>2722128305</v>
      </c>
      <c r="S48" s="4">
        <f>SUM(S49:S52)</f>
        <v>1843202818</v>
      </c>
      <c r="T48" s="4">
        <f t="shared" si="13"/>
        <v>1394447918</v>
      </c>
      <c r="U48" s="4">
        <f t="shared" si="13"/>
        <v>1394447918</v>
      </c>
      <c r="V48" s="4">
        <f>SUM(V49:V52)</f>
        <v>1843202818</v>
      </c>
      <c r="W48" s="90">
        <f t="shared" si="12"/>
        <v>0.65751390704710999</v>
      </c>
      <c r="X48" s="36"/>
    </row>
    <row r="49" spans="1:24" s="38" customFormat="1" x14ac:dyDescent="0.2">
      <c r="A49" s="47" t="s">
        <v>10</v>
      </c>
      <c r="B49" s="48" t="s">
        <v>11</v>
      </c>
      <c r="C49" s="48" t="s">
        <v>12</v>
      </c>
      <c r="D49" s="48" t="s">
        <v>22</v>
      </c>
      <c r="E49" s="49" t="s">
        <v>17</v>
      </c>
      <c r="F49" s="49" t="s">
        <v>17</v>
      </c>
      <c r="G49" s="49" t="s">
        <v>13</v>
      </c>
      <c r="H49" s="64" t="s">
        <v>14</v>
      </c>
      <c r="I49" s="50" t="s">
        <v>15</v>
      </c>
      <c r="J49" s="48" t="s">
        <v>53</v>
      </c>
      <c r="K49" s="6">
        <v>1087912748</v>
      </c>
      <c r="L49" s="6"/>
      <c r="M49" s="6"/>
      <c r="N49" s="6"/>
      <c r="O49" s="6"/>
      <c r="P49" s="6"/>
      <c r="Q49" s="6">
        <f>K49-L49+M49-N49-O49+P49</f>
        <v>1087912748</v>
      </c>
      <c r="R49" s="6">
        <v>1084511154</v>
      </c>
      <c r="S49" s="6">
        <v>769375367</v>
      </c>
      <c r="T49" s="6">
        <v>769375367</v>
      </c>
      <c r="U49" s="6">
        <v>769375367</v>
      </c>
      <c r="V49" s="6">
        <v>769375367</v>
      </c>
      <c r="W49" s="89">
        <f t="shared" si="12"/>
        <v>0.70720319107796681</v>
      </c>
      <c r="X49" s="36"/>
    </row>
    <row r="50" spans="1:24" s="38" customFormat="1" ht="18" x14ac:dyDescent="0.2">
      <c r="A50" s="47" t="s">
        <v>10</v>
      </c>
      <c r="B50" s="48" t="s">
        <v>11</v>
      </c>
      <c r="C50" s="48" t="s">
        <v>12</v>
      </c>
      <c r="D50" s="48" t="s">
        <v>22</v>
      </c>
      <c r="E50" s="49" t="s">
        <v>17</v>
      </c>
      <c r="F50" s="49" t="s">
        <v>46</v>
      </c>
      <c r="G50" s="49" t="s">
        <v>13</v>
      </c>
      <c r="H50" s="64" t="s">
        <v>14</v>
      </c>
      <c r="I50" s="50" t="s">
        <v>15</v>
      </c>
      <c r="J50" s="52" t="s">
        <v>54</v>
      </c>
      <c r="K50" s="6">
        <v>1015378252</v>
      </c>
      <c r="L50" s="6"/>
      <c r="M50" s="6"/>
      <c r="N50" s="6"/>
      <c r="O50" s="6"/>
      <c r="P50" s="6"/>
      <c r="Q50" s="6">
        <f>K50-L50+M50-N50-O50+P50</f>
        <v>1015378252</v>
      </c>
      <c r="R50" s="6">
        <v>974141151</v>
      </c>
      <c r="S50" s="6">
        <v>625072551</v>
      </c>
      <c r="T50" s="6">
        <v>625072551</v>
      </c>
      <c r="U50" s="6">
        <v>625072551</v>
      </c>
      <c r="V50" s="6">
        <v>625072551</v>
      </c>
      <c r="W50" s="89">
        <f t="shared" si="12"/>
        <v>0.6156056127544477</v>
      </c>
      <c r="X50" s="36"/>
    </row>
    <row r="51" spans="1:24" s="38" customFormat="1" x14ac:dyDescent="0.2">
      <c r="A51" s="47" t="s">
        <v>10</v>
      </c>
      <c r="B51" s="48" t="s">
        <v>11</v>
      </c>
      <c r="C51" s="48" t="s">
        <v>12</v>
      </c>
      <c r="D51" s="48" t="s">
        <v>22</v>
      </c>
      <c r="E51" s="49" t="s">
        <v>55</v>
      </c>
      <c r="F51" s="49"/>
      <c r="G51" s="49" t="s">
        <v>13</v>
      </c>
      <c r="H51" s="64" t="s">
        <v>14</v>
      </c>
      <c r="I51" s="50" t="s">
        <v>15</v>
      </c>
      <c r="J51" s="48" t="s">
        <v>56</v>
      </c>
      <c r="K51" s="6">
        <v>400000000</v>
      </c>
      <c r="L51" s="6"/>
      <c r="M51" s="6"/>
      <c r="N51" s="6"/>
      <c r="O51" s="6"/>
      <c r="P51" s="6"/>
      <c r="Q51" s="6">
        <f>K51-L51+M51-N51-O51+P51</f>
        <v>400000000</v>
      </c>
      <c r="R51" s="6">
        <v>378886880</v>
      </c>
      <c r="S51" s="6">
        <v>269234380</v>
      </c>
      <c r="T51" s="6">
        <v>269234380</v>
      </c>
      <c r="U51" s="6">
        <v>269234380</v>
      </c>
      <c r="V51" s="6">
        <v>269234380</v>
      </c>
      <c r="W51" s="89">
        <f t="shared" si="12"/>
        <v>0.67308595000000004</v>
      </c>
      <c r="X51" s="36"/>
    </row>
    <row r="52" spans="1:24" s="38" customFormat="1" x14ac:dyDescent="0.2">
      <c r="A52" s="47" t="s">
        <v>10</v>
      </c>
      <c r="B52" s="48" t="s">
        <v>11</v>
      </c>
      <c r="C52" s="48" t="s">
        <v>12</v>
      </c>
      <c r="D52" s="48" t="s">
        <v>22</v>
      </c>
      <c r="E52" s="49" t="s">
        <v>57</v>
      </c>
      <c r="F52" s="49"/>
      <c r="G52" s="49" t="s">
        <v>13</v>
      </c>
      <c r="H52" s="64" t="s">
        <v>14</v>
      </c>
      <c r="I52" s="50" t="s">
        <v>15</v>
      </c>
      <c r="J52" s="48" t="s">
        <v>58</v>
      </c>
      <c r="K52" s="6">
        <v>300000000</v>
      </c>
      <c r="L52" s="6"/>
      <c r="M52" s="6"/>
      <c r="N52" s="6"/>
      <c r="O52" s="6"/>
      <c r="P52" s="6"/>
      <c r="Q52" s="6">
        <f>K52-L52+M52-N52-O52+P52</f>
        <v>300000000</v>
      </c>
      <c r="R52" s="6">
        <v>284589120</v>
      </c>
      <c r="S52" s="6">
        <v>179520520</v>
      </c>
      <c r="T52" s="6">
        <v>179520520</v>
      </c>
      <c r="U52" s="6">
        <v>179520520</v>
      </c>
      <c r="V52" s="6">
        <v>179520520</v>
      </c>
      <c r="W52" s="89">
        <f t="shared" si="12"/>
        <v>0.59840173333333335</v>
      </c>
      <c r="X52" s="36"/>
    </row>
    <row r="53" spans="1:24" s="35" customFormat="1" x14ac:dyDescent="0.2">
      <c r="A53" s="42" t="s">
        <v>10</v>
      </c>
      <c r="B53" s="43">
        <v>2</v>
      </c>
      <c r="C53" s="43"/>
      <c r="D53" s="43"/>
      <c r="E53" s="44"/>
      <c r="F53" s="44"/>
      <c r="G53" s="44"/>
      <c r="H53" s="63"/>
      <c r="I53" s="45"/>
      <c r="J53" s="43" t="s">
        <v>108</v>
      </c>
      <c r="K53" s="4">
        <f>K54+K59</f>
        <v>17209424000</v>
      </c>
      <c r="L53" s="4">
        <f t="shared" ref="L53:P53" si="14">L54+L59</f>
        <v>4169674368.98</v>
      </c>
      <c r="M53" s="4">
        <f>M54+M59</f>
        <v>4169674368.98</v>
      </c>
      <c r="N53" s="4">
        <f t="shared" si="14"/>
        <v>0</v>
      </c>
      <c r="O53" s="4">
        <f t="shared" si="14"/>
        <v>0</v>
      </c>
      <c r="P53" s="4">
        <f t="shared" si="14"/>
        <v>0</v>
      </c>
      <c r="Q53" s="4">
        <f t="shared" ref="Q53:U53" si="15">Q54+Q59</f>
        <v>17209424000</v>
      </c>
      <c r="R53" s="4">
        <f t="shared" si="15"/>
        <v>15872355250.980001</v>
      </c>
      <c r="S53" s="4">
        <f t="shared" si="15"/>
        <v>12930304300.639999</v>
      </c>
      <c r="T53" s="4">
        <f t="shared" si="15"/>
        <v>9639232574.2600002</v>
      </c>
      <c r="U53" s="4">
        <f t="shared" si="15"/>
        <v>9600098834.2600002</v>
      </c>
      <c r="V53" s="4">
        <f>V54+V59</f>
        <v>9599020848.2600002</v>
      </c>
      <c r="W53" s="90">
        <f t="shared" si="12"/>
        <v>0.75135020792328666</v>
      </c>
      <c r="X53" s="36"/>
    </row>
    <row r="54" spans="1:24" s="35" customFormat="1" x14ac:dyDescent="0.2">
      <c r="A54" s="42" t="s">
        <v>10</v>
      </c>
      <c r="B54" s="43" t="s">
        <v>17</v>
      </c>
      <c r="C54" s="43" t="s">
        <v>12</v>
      </c>
      <c r="D54" s="43" t="s">
        <v>46</v>
      </c>
      <c r="E54" s="44"/>
      <c r="F54" s="44"/>
      <c r="G54" s="44"/>
      <c r="H54" s="63"/>
      <c r="I54" s="45"/>
      <c r="J54" s="43" t="s">
        <v>103</v>
      </c>
      <c r="K54" s="4">
        <f>K55</f>
        <v>61797000</v>
      </c>
      <c r="L54" s="4">
        <f t="shared" ref="L54:V54" si="16">L55</f>
        <v>1100000</v>
      </c>
      <c r="M54" s="4">
        <f t="shared" si="16"/>
        <v>51682534</v>
      </c>
      <c r="N54" s="4">
        <f t="shared" si="16"/>
        <v>0</v>
      </c>
      <c r="O54" s="4">
        <f t="shared" si="16"/>
        <v>0</v>
      </c>
      <c r="P54" s="4">
        <f t="shared" si="16"/>
        <v>0</v>
      </c>
      <c r="Q54" s="4">
        <f t="shared" si="16"/>
        <v>112379534</v>
      </c>
      <c r="R54" s="4">
        <f t="shared" si="16"/>
        <v>106408458</v>
      </c>
      <c r="S54" s="4">
        <f t="shared" si="16"/>
        <v>104308458</v>
      </c>
      <c r="T54" s="4">
        <f t="shared" si="16"/>
        <v>103653653.12</v>
      </c>
      <c r="U54" s="4">
        <f t="shared" si="16"/>
        <v>103653653.12</v>
      </c>
      <c r="V54" s="4">
        <f t="shared" si="16"/>
        <v>103653653.12</v>
      </c>
      <c r="W54" s="90">
        <f t="shared" si="12"/>
        <v>0.9281801969387059</v>
      </c>
      <c r="X54" s="36"/>
    </row>
    <row r="55" spans="1:24" s="35" customFormat="1" x14ac:dyDescent="0.2">
      <c r="A55" s="42" t="s">
        <v>10</v>
      </c>
      <c r="B55" s="43" t="s">
        <v>17</v>
      </c>
      <c r="C55" s="43" t="s">
        <v>12</v>
      </c>
      <c r="D55" s="43" t="s">
        <v>46</v>
      </c>
      <c r="E55" s="51">
        <v>50</v>
      </c>
      <c r="F55" s="44"/>
      <c r="G55" s="44"/>
      <c r="H55" s="63"/>
      <c r="I55" s="45"/>
      <c r="J55" s="43" t="s">
        <v>165</v>
      </c>
      <c r="K55" s="4">
        <f t="shared" ref="K55:V55" si="17">SUM(K56:K58)</f>
        <v>61797000</v>
      </c>
      <c r="L55" s="4">
        <f t="shared" si="17"/>
        <v>1100000</v>
      </c>
      <c r="M55" s="4">
        <f t="shared" si="17"/>
        <v>51682534</v>
      </c>
      <c r="N55" s="4">
        <f t="shared" si="17"/>
        <v>0</v>
      </c>
      <c r="O55" s="4">
        <f t="shared" si="17"/>
        <v>0</v>
      </c>
      <c r="P55" s="4">
        <f t="shared" si="17"/>
        <v>0</v>
      </c>
      <c r="Q55" s="4">
        <f t="shared" si="17"/>
        <v>112379534</v>
      </c>
      <c r="R55" s="4">
        <f t="shared" si="17"/>
        <v>106408458</v>
      </c>
      <c r="S55" s="4">
        <f t="shared" si="17"/>
        <v>104308458</v>
      </c>
      <c r="T55" s="4">
        <f t="shared" si="17"/>
        <v>103653653.12</v>
      </c>
      <c r="U55" s="4">
        <f t="shared" si="17"/>
        <v>103653653.12</v>
      </c>
      <c r="V55" s="4">
        <f t="shared" si="17"/>
        <v>103653653.12</v>
      </c>
      <c r="W55" s="90">
        <f t="shared" si="12"/>
        <v>0.9281801969387059</v>
      </c>
      <c r="X55" s="36"/>
    </row>
    <row r="56" spans="1:24" s="38" customFormat="1" x14ac:dyDescent="0.2">
      <c r="A56" s="47" t="s">
        <v>10</v>
      </c>
      <c r="B56" s="48" t="s">
        <v>17</v>
      </c>
      <c r="C56" s="48" t="s">
        <v>12</v>
      </c>
      <c r="D56" s="48" t="s">
        <v>46</v>
      </c>
      <c r="E56" s="49" t="s">
        <v>59</v>
      </c>
      <c r="F56" s="49" t="s">
        <v>17</v>
      </c>
      <c r="G56" s="49" t="s">
        <v>13</v>
      </c>
      <c r="H56" s="64" t="s">
        <v>14</v>
      </c>
      <c r="I56" s="50" t="s">
        <v>15</v>
      </c>
      <c r="J56" s="48" t="s">
        <v>60</v>
      </c>
      <c r="K56" s="6">
        <v>7800000</v>
      </c>
      <c r="L56" s="6">
        <v>1100000</v>
      </c>
      <c r="M56" s="6"/>
      <c r="N56" s="6"/>
      <c r="O56" s="6"/>
      <c r="P56" s="6"/>
      <c r="Q56" s="6">
        <f>K56-L56+M56-N56-O56+P56</f>
        <v>6700000</v>
      </c>
      <c r="R56" s="6">
        <v>861300</v>
      </c>
      <c r="S56" s="6">
        <v>861300</v>
      </c>
      <c r="T56" s="6">
        <v>861300</v>
      </c>
      <c r="U56" s="6">
        <v>861300</v>
      </c>
      <c r="V56" s="6">
        <v>861300</v>
      </c>
      <c r="W56" s="89">
        <f t="shared" si="12"/>
        <v>0.12855223880597014</v>
      </c>
      <c r="X56" s="36"/>
    </row>
    <row r="57" spans="1:24" s="38" customFormat="1" ht="15" customHeight="1" x14ac:dyDescent="0.2">
      <c r="A57" s="47" t="s">
        <v>10</v>
      </c>
      <c r="B57" s="48" t="s">
        <v>17</v>
      </c>
      <c r="C57" s="48" t="s">
        <v>12</v>
      </c>
      <c r="D57" s="48" t="s">
        <v>46</v>
      </c>
      <c r="E57" s="49" t="s">
        <v>59</v>
      </c>
      <c r="F57" s="49" t="s">
        <v>46</v>
      </c>
      <c r="G57" s="49" t="s">
        <v>13</v>
      </c>
      <c r="H57" s="64" t="s">
        <v>14</v>
      </c>
      <c r="I57" s="50" t="s">
        <v>15</v>
      </c>
      <c r="J57" s="48" t="s">
        <v>61</v>
      </c>
      <c r="K57" s="6">
        <v>51997000</v>
      </c>
      <c r="L57" s="6"/>
      <c r="M57" s="6">
        <v>50582534</v>
      </c>
      <c r="N57" s="6"/>
      <c r="O57" s="6"/>
      <c r="P57" s="6"/>
      <c r="Q57" s="6">
        <f>K57-L57+M57-N57-O57+P57</f>
        <v>102579534</v>
      </c>
      <c r="R57" s="6">
        <v>102447158</v>
      </c>
      <c r="S57" s="6">
        <v>102447158</v>
      </c>
      <c r="T57" s="6">
        <v>102447158</v>
      </c>
      <c r="U57" s="6">
        <v>102447158</v>
      </c>
      <c r="V57" s="6">
        <v>102447158</v>
      </c>
      <c r="W57" s="89">
        <f t="shared" si="12"/>
        <v>0.99870952815987646</v>
      </c>
      <c r="X57" s="36"/>
    </row>
    <row r="58" spans="1:24" s="38" customFormat="1" ht="15" customHeight="1" x14ac:dyDescent="0.2">
      <c r="A58" s="47" t="s">
        <v>10</v>
      </c>
      <c r="B58" s="48" t="s">
        <v>17</v>
      </c>
      <c r="C58" s="48" t="s">
        <v>12</v>
      </c>
      <c r="D58" s="48" t="s">
        <v>46</v>
      </c>
      <c r="E58" s="49" t="s">
        <v>59</v>
      </c>
      <c r="F58" s="54">
        <v>90</v>
      </c>
      <c r="G58" s="49" t="s">
        <v>13</v>
      </c>
      <c r="H58" s="64" t="s">
        <v>14</v>
      </c>
      <c r="I58" s="50" t="s">
        <v>15</v>
      </c>
      <c r="J58" s="48" t="s">
        <v>163</v>
      </c>
      <c r="K58" s="6">
        <v>2000000</v>
      </c>
      <c r="L58" s="6"/>
      <c r="M58" s="6">
        <v>1100000</v>
      </c>
      <c r="N58" s="6"/>
      <c r="O58" s="6"/>
      <c r="P58" s="6"/>
      <c r="Q58" s="6">
        <f>K58-L58+M58-N58-O58+P58</f>
        <v>3100000</v>
      </c>
      <c r="R58" s="6">
        <v>3100000</v>
      </c>
      <c r="S58" s="6">
        <v>1000000</v>
      </c>
      <c r="T58" s="6">
        <v>345195.12</v>
      </c>
      <c r="U58" s="6">
        <v>345195.12</v>
      </c>
      <c r="V58" s="6">
        <v>345195.12</v>
      </c>
      <c r="W58" s="89">
        <f t="shared" si="12"/>
        <v>0.32258064516129031</v>
      </c>
      <c r="X58" s="36"/>
    </row>
    <row r="59" spans="1:24" s="35" customFormat="1" x14ac:dyDescent="0.2">
      <c r="A59" s="42" t="s">
        <v>10</v>
      </c>
      <c r="B59" s="43" t="s">
        <v>17</v>
      </c>
      <c r="C59" s="43" t="s">
        <v>12</v>
      </c>
      <c r="D59" s="43" t="s">
        <v>19</v>
      </c>
      <c r="E59" s="44"/>
      <c r="F59" s="44"/>
      <c r="G59" s="44"/>
      <c r="H59" s="63"/>
      <c r="I59" s="45"/>
      <c r="J59" s="43" t="s">
        <v>106</v>
      </c>
      <c r="K59" s="4">
        <f>K60+K67+K77+K92+K97+K100+K111+K114+K117+K122+K131+K64+K121+K129</f>
        <v>17147627000</v>
      </c>
      <c r="L59" s="4">
        <f>L60+L67+L77+L92+L97+L100+L111+L114+L117+L122+L131+L64</f>
        <v>4168574368.98</v>
      </c>
      <c r="M59" s="4">
        <f>M60+M67+M77+M92+M97+M100+M111+M114+M117+M122+M131+M64+M129</f>
        <v>4117991834.98</v>
      </c>
      <c r="N59" s="4">
        <f>N60+N67+N77+N92+N97+N100+N111+N114+N117+N122+N131</f>
        <v>0</v>
      </c>
      <c r="O59" s="4">
        <f>O60+O67+O77+O92+O97+O100+O111+O114+O117+O122+O131</f>
        <v>0</v>
      </c>
      <c r="P59" s="4">
        <f>P60+P67+P77+P92+P97+P100+P111+P114+P117+P122+P131</f>
        <v>0</v>
      </c>
      <c r="Q59" s="4">
        <f>Q60+Q67+Q77+Q92+Q97+Q100+Q111+Q114+Q117+Q122+Q131+Q64+Q121+Q129</f>
        <v>17097044466</v>
      </c>
      <c r="R59" s="4">
        <f>R60+R67+R77+R92+R97+R100+R111+R114+R117+R122+R131+R64+R129</f>
        <v>15765946792.980001</v>
      </c>
      <c r="S59" s="4">
        <f>S60+S67+S77+S92+S97+S100+S111+S114+S117+S122+S131+S64+S129</f>
        <v>12825995842.639999</v>
      </c>
      <c r="T59" s="4">
        <f>T60+T67+T77+T92+T97+T100+T111+T114+T117+T122+T131+T64+T129</f>
        <v>9535578921.1399994</v>
      </c>
      <c r="U59" s="4">
        <f>U60+U67+U77+U92+U97+U100+U111+U114+U117+U122+U131+U64+U129</f>
        <v>9496445181.1399994</v>
      </c>
      <c r="V59" s="4">
        <f>V60+V67+V77+V92+V97+V100+V111+V114+V117+V122+V131+V64+V129</f>
        <v>9495367195.1399994</v>
      </c>
      <c r="W59" s="90">
        <f t="shared" si="12"/>
        <v>0.75018789757179305</v>
      </c>
      <c r="X59" s="36"/>
    </row>
    <row r="60" spans="1:24" s="35" customFormat="1" x14ac:dyDescent="0.2">
      <c r="A60" s="42" t="s">
        <v>10</v>
      </c>
      <c r="B60" s="43" t="s">
        <v>17</v>
      </c>
      <c r="C60" s="43" t="s">
        <v>12</v>
      </c>
      <c r="D60" s="43" t="s">
        <v>19</v>
      </c>
      <c r="E60" s="51">
        <v>1</v>
      </c>
      <c r="F60" s="44"/>
      <c r="G60" s="44"/>
      <c r="H60" s="63"/>
      <c r="I60" s="45" t="s">
        <v>15</v>
      </c>
      <c r="J60" s="43" t="s">
        <v>107</v>
      </c>
      <c r="K60" s="4">
        <f t="shared" ref="K60:P60" si="18">SUM(K61:K62)</f>
        <v>153000000</v>
      </c>
      <c r="L60" s="99">
        <f>SUM(L61:L63)</f>
        <v>295897920</v>
      </c>
      <c r="M60" s="99">
        <f>SUM(M61:M63)</f>
        <v>183700000</v>
      </c>
      <c r="N60" s="4">
        <f t="shared" si="18"/>
        <v>0</v>
      </c>
      <c r="O60" s="4">
        <f t="shared" si="18"/>
        <v>0</v>
      </c>
      <c r="P60" s="4">
        <f t="shared" si="18"/>
        <v>0</v>
      </c>
      <c r="Q60" s="4">
        <f t="shared" ref="Q60:V60" si="19">SUM(Q61:Q63)</f>
        <v>40802080</v>
      </c>
      <c r="R60" s="4">
        <f t="shared" si="19"/>
        <v>40802080</v>
      </c>
      <c r="S60" s="4">
        <f t="shared" si="19"/>
        <v>2802080</v>
      </c>
      <c r="T60" s="4">
        <f t="shared" si="19"/>
        <v>2802080</v>
      </c>
      <c r="U60" s="4">
        <f t="shared" si="19"/>
        <v>2802080</v>
      </c>
      <c r="V60" s="4">
        <f t="shared" si="19"/>
        <v>2802080</v>
      </c>
      <c r="W60" s="90">
        <f t="shared" si="12"/>
        <v>6.8674930297671105E-2</v>
      </c>
      <c r="X60" s="36"/>
    </row>
    <row r="61" spans="1:24" s="38" customFormat="1" x14ac:dyDescent="0.2">
      <c r="A61" s="47" t="s">
        <v>10</v>
      </c>
      <c r="B61" s="48" t="s">
        <v>17</v>
      </c>
      <c r="C61" s="48" t="s">
        <v>12</v>
      </c>
      <c r="D61" s="48" t="s">
        <v>19</v>
      </c>
      <c r="E61" s="49" t="s">
        <v>11</v>
      </c>
      <c r="F61" s="49" t="s">
        <v>63</v>
      </c>
      <c r="G61" s="49" t="s">
        <v>13</v>
      </c>
      <c r="H61" s="64" t="s">
        <v>14</v>
      </c>
      <c r="I61" s="50" t="s">
        <v>15</v>
      </c>
      <c r="J61" s="48" t="s">
        <v>64</v>
      </c>
      <c r="K61" s="6">
        <v>5000000</v>
      </c>
      <c r="L61" s="102">
        <f>3500000+138700000+5000000</f>
        <v>147200000</v>
      </c>
      <c r="M61" s="102">
        <v>175200000</v>
      </c>
      <c r="N61" s="6"/>
      <c r="O61" s="6"/>
      <c r="P61" s="6"/>
      <c r="Q61" s="6">
        <f>K61-L61+M61-N61-O61+P61</f>
        <v>33000000</v>
      </c>
      <c r="R61" s="6">
        <v>33000000</v>
      </c>
      <c r="S61" s="6">
        <v>0</v>
      </c>
      <c r="T61" s="6">
        <v>0</v>
      </c>
      <c r="U61" s="6">
        <v>0</v>
      </c>
      <c r="V61" s="6">
        <v>0</v>
      </c>
      <c r="W61" s="89">
        <f t="shared" si="12"/>
        <v>0</v>
      </c>
      <c r="X61" s="36"/>
    </row>
    <row r="62" spans="1:24" s="38" customFormat="1" ht="12" customHeight="1" x14ac:dyDescent="0.2">
      <c r="A62" s="47" t="s">
        <v>10</v>
      </c>
      <c r="B62" s="48" t="s">
        <v>17</v>
      </c>
      <c r="C62" s="48" t="s">
        <v>12</v>
      </c>
      <c r="D62" s="48" t="s">
        <v>19</v>
      </c>
      <c r="E62" s="49" t="s">
        <v>11</v>
      </c>
      <c r="F62" s="54" t="s">
        <v>63</v>
      </c>
      <c r="G62" s="49" t="s">
        <v>124</v>
      </c>
      <c r="H62" s="64" t="s">
        <v>125</v>
      </c>
      <c r="I62" s="50" t="s">
        <v>15</v>
      </c>
      <c r="J62" s="48" t="s">
        <v>64</v>
      </c>
      <c r="K62" s="6">
        <v>148000000</v>
      </c>
      <c r="L62" s="102">
        <f>148000000</f>
        <v>148000000</v>
      </c>
      <c r="M62" s="102">
        <v>5000000</v>
      </c>
      <c r="N62" s="6"/>
      <c r="O62" s="6"/>
      <c r="P62" s="6"/>
      <c r="Q62" s="6">
        <f>K62-L62+M62-N62-O62+P62</f>
        <v>5000000</v>
      </c>
      <c r="R62" s="6">
        <v>5000000</v>
      </c>
      <c r="S62" s="6">
        <v>0</v>
      </c>
      <c r="T62" s="6">
        <v>0</v>
      </c>
      <c r="U62" s="6">
        <v>0</v>
      </c>
      <c r="V62" s="6">
        <v>0</v>
      </c>
      <c r="W62" s="89">
        <f t="shared" si="12"/>
        <v>0</v>
      </c>
      <c r="X62" s="36"/>
    </row>
    <row r="63" spans="1:24" s="38" customFormat="1" ht="12" customHeight="1" x14ac:dyDescent="0.2">
      <c r="A63" s="47" t="s">
        <v>10</v>
      </c>
      <c r="B63" s="48" t="s">
        <v>17</v>
      </c>
      <c r="C63" s="48" t="s">
        <v>12</v>
      </c>
      <c r="D63" s="48" t="s">
        <v>19</v>
      </c>
      <c r="E63" s="49" t="s">
        <v>11</v>
      </c>
      <c r="F63" s="54">
        <v>26</v>
      </c>
      <c r="G63" s="49" t="s">
        <v>13</v>
      </c>
      <c r="H63" s="64" t="s">
        <v>14</v>
      </c>
      <c r="I63" s="50" t="s">
        <v>15</v>
      </c>
      <c r="J63" s="48" t="s">
        <v>172</v>
      </c>
      <c r="K63" s="6"/>
      <c r="L63" s="102">
        <v>697920</v>
      </c>
      <c r="M63" s="102">
        <v>3500000</v>
      </c>
      <c r="N63" s="6"/>
      <c r="O63" s="6"/>
      <c r="P63" s="6"/>
      <c r="Q63" s="6">
        <f>K63-L63+M63-N63-O63+P63</f>
        <v>2802080</v>
      </c>
      <c r="R63" s="6">
        <v>2802080</v>
      </c>
      <c r="S63" s="6">
        <v>2802080</v>
      </c>
      <c r="T63" s="6">
        <v>2802080</v>
      </c>
      <c r="U63" s="6">
        <v>2802080</v>
      </c>
      <c r="V63" s="6">
        <v>2802080</v>
      </c>
      <c r="W63" s="89">
        <f t="shared" si="12"/>
        <v>1</v>
      </c>
      <c r="X63" s="36"/>
    </row>
    <row r="64" spans="1:24" s="38" customFormat="1" ht="12" customHeight="1" x14ac:dyDescent="0.2">
      <c r="A64" s="42" t="s">
        <v>10</v>
      </c>
      <c r="B64" s="43" t="s">
        <v>17</v>
      </c>
      <c r="C64" s="43" t="s">
        <v>12</v>
      </c>
      <c r="D64" s="43" t="s">
        <v>19</v>
      </c>
      <c r="E64" s="51">
        <v>2</v>
      </c>
      <c r="F64" s="54"/>
      <c r="G64" s="49"/>
      <c r="H64" s="64"/>
      <c r="I64" s="50"/>
      <c r="J64" s="43" t="s">
        <v>166</v>
      </c>
      <c r="K64" s="2">
        <f>K65</f>
        <v>19000000</v>
      </c>
      <c r="L64" s="103">
        <f>L65</f>
        <v>20330900</v>
      </c>
      <c r="M64" s="103">
        <f>M65+M66</f>
        <v>280700000</v>
      </c>
      <c r="N64" s="6"/>
      <c r="O64" s="6"/>
      <c r="P64" s="6"/>
      <c r="Q64" s="4">
        <f t="shared" ref="Q64:V64" si="20">Q65+Q66</f>
        <v>279369100</v>
      </c>
      <c r="R64" s="2">
        <f t="shared" si="20"/>
        <v>279369100</v>
      </c>
      <c r="S64" s="2">
        <f t="shared" si="20"/>
        <v>185767700</v>
      </c>
      <c r="T64" s="2">
        <f t="shared" si="20"/>
        <v>170369100</v>
      </c>
      <c r="U64" s="2">
        <f t="shared" si="20"/>
        <v>170369100</v>
      </c>
      <c r="V64" s="2">
        <f t="shared" si="20"/>
        <v>170369100</v>
      </c>
      <c r="W64" s="89">
        <f t="shared" si="12"/>
        <v>0.66495435608304565</v>
      </c>
      <c r="X64" s="36"/>
    </row>
    <row r="65" spans="1:24" s="38" customFormat="1" ht="12" customHeight="1" x14ac:dyDescent="0.2">
      <c r="A65" s="47" t="s">
        <v>10</v>
      </c>
      <c r="B65" s="48" t="s">
        <v>17</v>
      </c>
      <c r="C65" s="48" t="s">
        <v>12</v>
      </c>
      <c r="D65" s="48" t="s">
        <v>19</v>
      </c>
      <c r="E65" s="54">
        <v>2</v>
      </c>
      <c r="F65" s="54">
        <v>2</v>
      </c>
      <c r="G65" s="49" t="s">
        <v>13</v>
      </c>
      <c r="H65" s="64" t="s">
        <v>14</v>
      </c>
      <c r="I65" s="50"/>
      <c r="J65" s="48" t="s">
        <v>166</v>
      </c>
      <c r="K65" s="6">
        <v>19000000</v>
      </c>
      <c r="L65" s="102">
        <v>20330900</v>
      </c>
      <c r="M65" s="102">
        <f>138700000+33000000+90000000</f>
        <v>261700000</v>
      </c>
      <c r="N65" s="6"/>
      <c r="O65" s="6"/>
      <c r="P65" s="6"/>
      <c r="Q65" s="6">
        <f>K65-L65+M65-N65-O65+P65</f>
        <v>260369100</v>
      </c>
      <c r="R65" s="6">
        <v>260369100</v>
      </c>
      <c r="S65" s="6">
        <v>170369100</v>
      </c>
      <c r="T65" s="6">
        <v>170369100</v>
      </c>
      <c r="U65" s="6">
        <v>170369100</v>
      </c>
      <c r="V65" s="6">
        <v>170369100</v>
      </c>
      <c r="W65" s="89">
        <f t="shared" si="12"/>
        <v>0.65433686255396661</v>
      </c>
      <c r="X65" s="36"/>
    </row>
    <row r="66" spans="1:24" s="38" customFormat="1" ht="12" customHeight="1" x14ac:dyDescent="0.2">
      <c r="A66" s="47" t="s">
        <v>10</v>
      </c>
      <c r="B66" s="48" t="s">
        <v>17</v>
      </c>
      <c r="C66" s="48" t="s">
        <v>12</v>
      </c>
      <c r="D66" s="48" t="s">
        <v>19</v>
      </c>
      <c r="E66" s="54">
        <v>2</v>
      </c>
      <c r="F66" s="54">
        <v>2</v>
      </c>
      <c r="G66" s="49" t="s">
        <v>124</v>
      </c>
      <c r="H66" s="64" t="s">
        <v>125</v>
      </c>
      <c r="I66" s="50"/>
      <c r="J66" s="48" t="s">
        <v>166</v>
      </c>
      <c r="K66" s="6"/>
      <c r="L66" s="102"/>
      <c r="M66" s="102">
        <v>19000000</v>
      </c>
      <c r="N66" s="6"/>
      <c r="O66" s="6"/>
      <c r="P66" s="6"/>
      <c r="Q66" s="6">
        <f>K66-L66+M66-N66-O66+P66</f>
        <v>19000000</v>
      </c>
      <c r="R66" s="6">
        <v>19000000</v>
      </c>
      <c r="S66" s="6">
        <v>15398600</v>
      </c>
      <c r="T66" s="6">
        <v>0</v>
      </c>
      <c r="U66" s="6">
        <v>0</v>
      </c>
      <c r="V66" s="6">
        <v>0</v>
      </c>
      <c r="W66" s="89">
        <f t="shared" si="12"/>
        <v>0.81045263157894731</v>
      </c>
      <c r="X66" s="36"/>
    </row>
    <row r="67" spans="1:24" s="35" customFormat="1" x14ac:dyDescent="0.2">
      <c r="A67" s="42" t="s">
        <v>10</v>
      </c>
      <c r="B67" s="43" t="s">
        <v>17</v>
      </c>
      <c r="C67" s="43" t="s">
        <v>12</v>
      </c>
      <c r="D67" s="43" t="s">
        <v>19</v>
      </c>
      <c r="E67" s="51">
        <v>4</v>
      </c>
      <c r="F67" s="44"/>
      <c r="G67" s="44"/>
      <c r="H67" s="63"/>
      <c r="I67" s="45" t="s">
        <v>15</v>
      </c>
      <c r="J67" s="43" t="s">
        <v>109</v>
      </c>
      <c r="K67" s="4">
        <f>SUM(K68:K76)</f>
        <v>1964000000</v>
      </c>
      <c r="L67" s="99">
        <f>SUM(L68:L76)</f>
        <v>825764513.37</v>
      </c>
      <c r="M67" s="99">
        <f>SUM(M68:M75)</f>
        <v>220468898.18000001</v>
      </c>
      <c r="N67" s="4">
        <f>SUM(N68:N75)</f>
        <v>0</v>
      </c>
      <c r="O67" s="4">
        <f>SUM(O68:O75)</f>
        <v>0</v>
      </c>
      <c r="P67" s="4">
        <f>SUM(P68:P75)</f>
        <v>0</v>
      </c>
      <c r="Q67" s="4">
        <f>SUM(Q68:Q76)</f>
        <v>1358704384.8099999</v>
      </c>
      <c r="R67" s="4">
        <f t="shared" ref="R67:V67" si="21">SUM(R68:R76)</f>
        <v>1205349962.79</v>
      </c>
      <c r="S67" s="4">
        <f t="shared" si="21"/>
        <v>1013826113.79</v>
      </c>
      <c r="T67" s="4">
        <f t="shared" si="21"/>
        <v>745722291.65999997</v>
      </c>
      <c r="U67" s="4">
        <f t="shared" si="21"/>
        <v>745722291.65999997</v>
      </c>
      <c r="V67" s="4">
        <f t="shared" si="21"/>
        <v>745722291.65999997</v>
      </c>
      <c r="W67" s="90">
        <f t="shared" si="12"/>
        <v>0.74617122394270663</v>
      </c>
      <c r="X67" s="36"/>
    </row>
    <row r="68" spans="1:24" s="38" customFormat="1" x14ac:dyDescent="0.2">
      <c r="A68" s="47" t="s">
        <v>10</v>
      </c>
      <c r="B68" s="48" t="s">
        <v>17</v>
      </c>
      <c r="C68" s="48" t="s">
        <v>12</v>
      </c>
      <c r="D68" s="48" t="s">
        <v>19</v>
      </c>
      <c r="E68" s="49" t="s">
        <v>19</v>
      </c>
      <c r="F68" s="49" t="s">
        <v>11</v>
      </c>
      <c r="G68" s="49" t="s">
        <v>13</v>
      </c>
      <c r="H68" s="64" t="s">
        <v>14</v>
      </c>
      <c r="I68" s="50" t="s">
        <v>15</v>
      </c>
      <c r="J68" s="48" t="s">
        <v>65</v>
      </c>
      <c r="K68" s="6">
        <v>35000000</v>
      </c>
      <c r="L68" s="102">
        <v>1000000</v>
      </c>
      <c r="M68" s="102"/>
      <c r="N68" s="6"/>
      <c r="O68" s="6"/>
      <c r="P68" s="6"/>
      <c r="Q68" s="6">
        <f t="shared" ref="Q68:Q76" si="22">K68-L68+M68-N68-O68+P68</f>
        <v>34000000</v>
      </c>
      <c r="R68" s="6">
        <v>34000000</v>
      </c>
      <c r="S68" s="6">
        <v>34000000</v>
      </c>
      <c r="T68" s="6">
        <v>13582297</v>
      </c>
      <c r="U68" s="6">
        <v>13582297</v>
      </c>
      <c r="V68" s="6">
        <v>13582297</v>
      </c>
      <c r="W68" s="89">
        <f t="shared" si="12"/>
        <v>1</v>
      </c>
      <c r="X68" s="36"/>
    </row>
    <row r="69" spans="1:24" s="38" customFormat="1" x14ac:dyDescent="0.2">
      <c r="A69" s="47" t="s">
        <v>10</v>
      </c>
      <c r="B69" s="48" t="s">
        <v>17</v>
      </c>
      <c r="C69" s="48" t="s">
        <v>12</v>
      </c>
      <c r="D69" s="48" t="s">
        <v>19</v>
      </c>
      <c r="E69" s="49" t="s">
        <v>19</v>
      </c>
      <c r="F69" s="49" t="s">
        <v>17</v>
      </c>
      <c r="G69" s="49" t="s">
        <v>13</v>
      </c>
      <c r="H69" s="64" t="s">
        <v>14</v>
      </c>
      <c r="I69" s="50" t="s">
        <v>15</v>
      </c>
      <c r="J69" s="48" t="s">
        <v>66</v>
      </c>
      <c r="K69" s="6">
        <v>206000000</v>
      </c>
      <c r="L69" s="102">
        <f>40000000+78516109.18</f>
        <v>118516109.18000001</v>
      </c>
      <c r="M69" s="102">
        <f>40000000+40129789+14823000</f>
        <v>94952789</v>
      </c>
      <c r="N69" s="6"/>
      <c r="O69" s="6"/>
      <c r="P69" s="6"/>
      <c r="Q69" s="6">
        <f t="shared" si="22"/>
        <v>182436679.81999999</v>
      </c>
      <c r="R69" s="6">
        <v>173532998.69</v>
      </c>
      <c r="S69" s="6">
        <v>68580209.689999998</v>
      </c>
      <c r="T69" s="6">
        <v>33573694.659999996</v>
      </c>
      <c r="U69" s="6">
        <v>33573694.659999996</v>
      </c>
      <c r="V69" s="6">
        <v>33573694.659999996</v>
      </c>
      <c r="W69" s="89">
        <f t="shared" si="12"/>
        <v>0.37591239742832544</v>
      </c>
      <c r="X69" s="36"/>
    </row>
    <row r="70" spans="1:24" s="38" customFormat="1" x14ac:dyDescent="0.2">
      <c r="A70" s="47" t="s">
        <v>10</v>
      </c>
      <c r="B70" s="48" t="s">
        <v>17</v>
      </c>
      <c r="C70" s="48" t="s">
        <v>12</v>
      </c>
      <c r="D70" s="48" t="s">
        <v>19</v>
      </c>
      <c r="E70" s="49" t="s">
        <v>19</v>
      </c>
      <c r="F70" s="49" t="s">
        <v>17</v>
      </c>
      <c r="G70" s="49" t="s">
        <v>124</v>
      </c>
      <c r="H70" s="64" t="s">
        <v>125</v>
      </c>
      <c r="I70" s="50" t="s">
        <v>15</v>
      </c>
      <c r="J70" s="48" t="s">
        <v>66</v>
      </c>
      <c r="K70" s="6"/>
      <c r="L70" s="102"/>
      <c r="M70" s="102">
        <f>40000000+38516109.18</f>
        <v>78516109.180000007</v>
      </c>
      <c r="N70" s="6"/>
      <c r="O70" s="6"/>
      <c r="P70" s="6"/>
      <c r="Q70" s="6">
        <f t="shared" si="22"/>
        <v>78516109.180000007</v>
      </c>
      <c r="R70" s="6">
        <v>6000000</v>
      </c>
      <c r="S70" s="6">
        <v>0</v>
      </c>
      <c r="T70" s="6">
        <v>0</v>
      </c>
      <c r="U70" s="6">
        <v>0</v>
      </c>
      <c r="V70" s="6">
        <v>0</v>
      </c>
      <c r="W70" s="89">
        <f t="shared" si="12"/>
        <v>0</v>
      </c>
      <c r="X70" s="36"/>
    </row>
    <row r="71" spans="1:24" s="38" customFormat="1" x14ac:dyDescent="0.2">
      <c r="A71" s="47" t="s">
        <v>10</v>
      </c>
      <c r="B71" s="48" t="s">
        <v>17</v>
      </c>
      <c r="C71" s="48" t="s">
        <v>12</v>
      </c>
      <c r="D71" s="48" t="s">
        <v>19</v>
      </c>
      <c r="E71" s="54">
        <v>4</v>
      </c>
      <c r="F71" s="54">
        <v>6</v>
      </c>
      <c r="G71" s="49" t="s">
        <v>13</v>
      </c>
      <c r="H71" s="64" t="s">
        <v>14</v>
      </c>
      <c r="I71" s="50" t="s">
        <v>15</v>
      </c>
      <c r="J71" s="48" t="s">
        <v>160</v>
      </c>
      <c r="K71" s="6">
        <v>3000000</v>
      </c>
      <c r="L71" s="102">
        <v>3000000</v>
      </c>
      <c r="M71" s="102"/>
      <c r="N71" s="6"/>
      <c r="O71" s="6"/>
      <c r="P71" s="6"/>
      <c r="Q71" s="6">
        <f t="shared" si="22"/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89">
        <v>0</v>
      </c>
      <c r="X71" s="36"/>
    </row>
    <row r="72" spans="1:24" s="38" customFormat="1" x14ac:dyDescent="0.2">
      <c r="A72" s="47" t="s">
        <v>10</v>
      </c>
      <c r="B72" s="48" t="s">
        <v>17</v>
      </c>
      <c r="C72" s="48" t="s">
        <v>12</v>
      </c>
      <c r="D72" s="48" t="s">
        <v>19</v>
      </c>
      <c r="E72" s="49" t="s">
        <v>19</v>
      </c>
      <c r="F72" s="49" t="s">
        <v>25</v>
      </c>
      <c r="G72" s="49" t="s">
        <v>13</v>
      </c>
      <c r="H72" s="64" t="s">
        <v>14</v>
      </c>
      <c r="I72" s="50" t="s">
        <v>15</v>
      </c>
      <c r="J72" s="48" t="s">
        <v>67</v>
      </c>
      <c r="K72" s="6">
        <v>27466600</v>
      </c>
      <c r="L72" s="102">
        <v>27466600</v>
      </c>
      <c r="M72" s="102"/>
      <c r="N72" s="6"/>
      <c r="O72" s="6"/>
      <c r="P72" s="6"/>
      <c r="Q72" s="6">
        <f t="shared" si="22"/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89">
        <v>0</v>
      </c>
      <c r="X72" s="36"/>
    </row>
    <row r="73" spans="1:24" s="38" customFormat="1" x14ac:dyDescent="0.2">
      <c r="A73" s="47" t="s">
        <v>10</v>
      </c>
      <c r="B73" s="48" t="s">
        <v>17</v>
      </c>
      <c r="C73" s="48" t="s">
        <v>12</v>
      </c>
      <c r="D73" s="48" t="s">
        <v>19</v>
      </c>
      <c r="E73" s="49" t="s">
        <v>19</v>
      </c>
      <c r="F73" s="49" t="s">
        <v>25</v>
      </c>
      <c r="G73" s="49" t="s">
        <v>124</v>
      </c>
      <c r="H73" s="64" t="s">
        <v>125</v>
      </c>
      <c r="I73" s="50" t="s">
        <v>15</v>
      </c>
      <c r="J73" s="48" t="s">
        <v>67</v>
      </c>
      <c r="K73" s="6">
        <v>52533400</v>
      </c>
      <c r="L73" s="102"/>
      <c r="M73" s="102"/>
      <c r="N73" s="6"/>
      <c r="O73" s="6"/>
      <c r="P73" s="6"/>
      <c r="Q73" s="6">
        <f t="shared" si="22"/>
        <v>52533400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89">
        <f t="shared" si="12"/>
        <v>0</v>
      </c>
      <c r="X73" s="36"/>
    </row>
    <row r="74" spans="1:24" s="38" customFormat="1" x14ac:dyDescent="0.2">
      <c r="A74" s="47" t="s">
        <v>10</v>
      </c>
      <c r="B74" s="48" t="s">
        <v>17</v>
      </c>
      <c r="C74" s="48" t="s">
        <v>12</v>
      </c>
      <c r="D74" s="48" t="s">
        <v>19</v>
      </c>
      <c r="E74" s="49" t="s">
        <v>19</v>
      </c>
      <c r="F74" s="49" t="s">
        <v>31</v>
      </c>
      <c r="G74" s="49" t="s">
        <v>13</v>
      </c>
      <c r="H74" s="64" t="s">
        <v>14</v>
      </c>
      <c r="I74" s="50" t="s">
        <v>15</v>
      </c>
      <c r="J74" s="48" t="s">
        <v>68</v>
      </c>
      <c r="K74" s="6">
        <v>45000000</v>
      </c>
      <c r="L74" s="102">
        <v>32695303.899999999</v>
      </c>
      <c r="M74" s="102">
        <f>4000000+3000000</f>
        <v>7000000</v>
      </c>
      <c r="N74" s="6"/>
      <c r="O74" s="6"/>
      <c r="P74" s="6"/>
      <c r="Q74" s="6">
        <f t="shared" si="22"/>
        <v>19304696.100000001</v>
      </c>
      <c r="R74" s="6">
        <v>19304696.100000001</v>
      </c>
      <c r="S74" s="6">
        <v>19304696.100000001</v>
      </c>
      <c r="T74" s="6">
        <v>0</v>
      </c>
      <c r="U74" s="6">
        <v>0</v>
      </c>
      <c r="V74" s="6">
        <v>0</v>
      </c>
      <c r="W74" s="89">
        <f t="shared" si="12"/>
        <v>1</v>
      </c>
      <c r="X74" s="36"/>
    </row>
    <row r="75" spans="1:24" s="38" customFormat="1" x14ac:dyDescent="0.2">
      <c r="A75" s="47" t="s">
        <v>10</v>
      </c>
      <c r="B75" s="48" t="s">
        <v>17</v>
      </c>
      <c r="C75" s="48" t="s">
        <v>12</v>
      </c>
      <c r="D75" s="48" t="s">
        <v>19</v>
      </c>
      <c r="E75" s="49" t="s">
        <v>19</v>
      </c>
      <c r="F75" s="49" t="s">
        <v>69</v>
      </c>
      <c r="G75" s="49" t="s">
        <v>13</v>
      </c>
      <c r="H75" s="64" t="s">
        <v>14</v>
      </c>
      <c r="I75" s="50" t="s">
        <v>15</v>
      </c>
      <c r="J75" s="48" t="s">
        <v>70</v>
      </c>
      <c r="K75" s="6">
        <v>945000000</v>
      </c>
      <c r="L75" s="102">
        <v>4000000</v>
      </c>
      <c r="M75" s="102">
        <v>40000000</v>
      </c>
      <c r="N75" s="6"/>
      <c r="O75" s="6"/>
      <c r="P75" s="6"/>
      <c r="Q75" s="6">
        <f t="shared" si="22"/>
        <v>981000000</v>
      </c>
      <c r="R75" s="6">
        <v>972512268</v>
      </c>
      <c r="S75" s="6">
        <v>891941208</v>
      </c>
      <c r="T75" s="6">
        <v>698566300</v>
      </c>
      <c r="U75" s="6">
        <v>698566300</v>
      </c>
      <c r="V75" s="6">
        <v>698566300</v>
      </c>
      <c r="W75" s="89">
        <f t="shared" si="12"/>
        <v>0.90921631804281344</v>
      </c>
      <c r="X75" s="36"/>
    </row>
    <row r="76" spans="1:24" s="38" customFormat="1" x14ac:dyDescent="0.2">
      <c r="A76" s="47" t="s">
        <v>10</v>
      </c>
      <c r="B76" s="48" t="s">
        <v>17</v>
      </c>
      <c r="C76" s="48" t="s">
        <v>12</v>
      </c>
      <c r="D76" s="48" t="s">
        <v>19</v>
      </c>
      <c r="E76" s="49" t="s">
        <v>19</v>
      </c>
      <c r="F76" s="49" t="s">
        <v>69</v>
      </c>
      <c r="G76" s="49" t="s">
        <v>124</v>
      </c>
      <c r="H76" s="64" t="s">
        <v>125</v>
      </c>
      <c r="I76" s="50" t="s">
        <v>15</v>
      </c>
      <c r="J76" s="48" t="s">
        <v>70</v>
      </c>
      <c r="K76" s="6">
        <v>650000000</v>
      </c>
      <c r="L76" s="102">
        <f>40000000+599086500.29</f>
        <v>639086500.28999996</v>
      </c>
      <c r="M76" s="102"/>
      <c r="N76" s="6"/>
      <c r="O76" s="6"/>
      <c r="P76" s="6"/>
      <c r="Q76" s="6">
        <f t="shared" si="22"/>
        <v>10913499.710000038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89">
        <f t="shared" si="12"/>
        <v>0</v>
      </c>
      <c r="X76" s="36"/>
    </row>
    <row r="77" spans="1:24" s="35" customFormat="1" x14ac:dyDescent="0.2">
      <c r="A77" s="42" t="s">
        <v>10</v>
      </c>
      <c r="B77" s="43" t="s">
        <v>17</v>
      </c>
      <c r="C77" s="43" t="s">
        <v>12</v>
      </c>
      <c r="D77" s="43" t="s">
        <v>19</v>
      </c>
      <c r="E77" s="51">
        <v>5</v>
      </c>
      <c r="F77" s="44"/>
      <c r="G77" s="44"/>
      <c r="H77" s="63"/>
      <c r="I77" s="45" t="s">
        <v>15</v>
      </c>
      <c r="J77" s="43" t="s">
        <v>110</v>
      </c>
      <c r="K77" s="4">
        <f>SUM(K78:K90)</f>
        <v>5700520000</v>
      </c>
      <c r="L77" s="99">
        <f>SUM(L78:L90)</f>
        <v>1563556182</v>
      </c>
      <c r="M77" s="99">
        <f>SUM(M78:M91)</f>
        <v>1625219812.6900001</v>
      </c>
      <c r="N77" s="4">
        <f>SUM(N78:N90)</f>
        <v>0</v>
      </c>
      <c r="O77" s="4">
        <f>SUM(O78:O90)</f>
        <v>0</v>
      </c>
      <c r="P77" s="4">
        <f>SUM(P78:P90)</f>
        <v>0</v>
      </c>
      <c r="Q77" s="4">
        <f t="shared" ref="Q77:V77" si="23">SUM(Q78:Q91)</f>
        <v>5762183630.6900005</v>
      </c>
      <c r="R77" s="4">
        <f t="shared" si="23"/>
        <v>5480787734.6900005</v>
      </c>
      <c r="S77" s="4">
        <f t="shared" si="23"/>
        <v>4435528030.6900005</v>
      </c>
      <c r="T77" s="4">
        <f t="shared" si="23"/>
        <v>3155445918.6800003</v>
      </c>
      <c r="U77" s="4">
        <f t="shared" si="23"/>
        <v>3155445918.6800003</v>
      </c>
      <c r="V77" s="4">
        <f t="shared" si="23"/>
        <v>3155445918.6800003</v>
      </c>
      <c r="W77" s="90">
        <f t="shared" si="12"/>
        <v>0.76976512984867551</v>
      </c>
      <c r="X77" s="36"/>
    </row>
    <row r="78" spans="1:24" s="38" customFormat="1" x14ac:dyDescent="0.2">
      <c r="A78" s="47" t="s">
        <v>10</v>
      </c>
      <c r="B78" s="48" t="s">
        <v>17</v>
      </c>
      <c r="C78" s="48" t="s">
        <v>12</v>
      </c>
      <c r="D78" s="48" t="s">
        <v>19</v>
      </c>
      <c r="E78" s="49" t="s">
        <v>22</v>
      </c>
      <c r="F78" s="49" t="s">
        <v>11</v>
      </c>
      <c r="G78" s="49" t="s">
        <v>13</v>
      </c>
      <c r="H78" s="64" t="s">
        <v>14</v>
      </c>
      <c r="I78" s="50" t="s">
        <v>15</v>
      </c>
      <c r="J78" s="48" t="s">
        <v>71</v>
      </c>
      <c r="K78" s="6">
        <v>22000000</v>
      </c>
      <c r="L78" s="102">
        <f>22000000+51000000+14042136</f>
        <v>87042136</v>
      </c>
      <c r="M78" s="102">
        <f>107000000+15000000</f>
        <v>122000000</v>
      </c>
      <c r="N78" s="6"/>
      <c r="O78" s="6"/>
      <c r="P78" s="6"/>
      <c r="Q78" s="6">
        <f t="shared" ref="Q78:Q91" si="24">K78-L78+M78-N78-O78+P78</f>
        <v>56957864</v>
      </c>
      <c r="R78" s="6">
        <v>56957864</v>
      </c>
      <c r="S78" s="6">
        <v>41957864</v>
      </c>
      <c r="T78" s="6">
        <v>4097113</v>
      </c>
      <c r="U78" s="6">
        <v>4097113</v>
      </c>
      <c r="V78" s="6">
        <v>4097113</v>
      </c>
      <c r="W78" s="89">
        <f t="shared" si="12"/>
        <v>0.73664742764932334</v>
      </c>
      <c r="X78" s="36"/>
    </row>
    <row r="79" spans="1:24" s="38" customFormat="1" x14ac:dyDescent="0.2">
      <c r="A79" s="47" t="s">
        <v>10</v>
      </c>
      <c r="B79" s="48" t="s">
        <v>17</v>
      </c>
      <c r="C79" s="48" t="s">
        <v>12</v>
      </c>
      <c r="D79" s="48" t="s">
        <v>19</v>
      </c>
      <c r="E79" s="49" t="s">
        <v>22</v>
      </c>
      <c r="F79" s="49" t="s">
        <v>11</v>
      </c>
      <c r="G79" s="49" t="s">
        <v>124</v>
      </c>
      <c r="H79" s="64" t="s">
        <v>125</v>
      </c>
      <c r="I79" s="50" t="s">
        <v>15</v>
      </c>
      <c r="J79" s="48" t="s">
        <v>71</v>
      </c>
      <c r="K79" s="6">
        <v>126600000</v>
      </c>
      <c r="L79" s="102">
        <v>107000000</v>
      </c>
      <c r="M79" s="102"/>
      <c r="N79" s="6"/>
      <c r="O79" s="6"/>
      <c r="P79" s="6"/>
      <c r="Q79" s="6">
        <f t="shared" si="24"/>
        <v>19600000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89">
        <f t="shared" si="12"/>
        <v>0</v>
      </c>
      <c r="X79" s="36"/>
    </row>
    <row r="80" spans="1:24" s="38" customFormat="1" x14ac:dyDescent="0.2">
      <c r="A80" s="47" t="s">
        <v>10</v>
      </c>
      <c r="B80" s="48" t="s">
        <v>17</v>
      </c>
      <c r="C80" s="48" t="s">
        <v>12</v>
      </c>
      <c r="D80" s="48" t="s">
        <v>19</v>
      </c>
      <c r="E80" s="49" t="s">
        <v>22</v>
      </c>
      <c r="F80" s="49" t="s">
        <v>17</v>
      </c>
      <c r="G80" s="49" t="s">
        <v>13</v>
      </c>
      <c r="H80" s="64" t="s">
        <v>14</v>
      </c>
      <c r="I80" s="50" t="s">
        <v>15</v>
      </c>
      <c r="J80" s="48" t="s">
        <v>72</v>
      </c>
      <c r="K80" s="6"/>
      <c r="L80" s="102">
        <f>33000000+1719932</f>
        <v>34719932</v>
      </c>
      <c r="M80" s="102">
        <v>73000000</v>
      </c>
      <c r="N80" s="6"/>
      <c r="O80" s="6"/>
      <c r="P80" s="6"/>
      <c r="Q80" s="6">
        <f t="shared" si="24"/>
        <v>38280068</v>
      </c>
      <c r="R80" s="6">
        <v>35337918</v>
      </c>
      <c r="S80" s="6">
        <v>35337918</v>
      </c>
      <c r="T80" s="6">
        <v>9528926</v>
      </c>
      <c r="U80" s="6">
        <v>9528926</v>
      </c>
      <c r="V80" s="6">
        <v>9528926</v>
      </c>
      <c r="W80" s="89">
        <f t="shared" si="12"/>
        <v>0.92314146359405636</v>
      </c>
      <c r="X80" s="36"/>
    </row>
    <row r="81" spans="1:24" s="38" customFormat="1" x14ac:dyDescent="0.2">
      <c r="A81" s="47" t="s">
        <v>10</v>
      </c>
      <c r="B81" s="48" t="s">
        <v>17</v>
      </c>
      <c r="C81" s="48" t="s">
        <v>12</v>
      </c>
      <c r="D81" s="48" t="s">
        <v>19</v>
      </c>
      <c r="E81" s="49" t="s">
        <v>22</v>
      </c>
      <c r="F81" s="49" t="s">
        <v>17</v>
      </c>
      <c r="G81" s="49" t="s">
        <v>124</v>
      </c>
      <c r="H81" s="64" t="s">
        <v>125</v>
      </c>
      <c r="I81" s="50" t="s">
        <v>15</v>
      </c>
      <c r="J81" s="48" t="s">
        <v>72</v>
      </c>
      <c r="K81" s="6">
        <v>65000000</v>
      </c>
      <c r="L81" s="102"/>
      <c r="M81" s="102"/>
      <c r="N81" s="6"/>
      <c r="O81" s="6"/>
      <c r="P81" s="6"/>
      <c r="Q81" s="6">
        <f t="shared" si="24"/>
        <v>65000000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89">
        <f t="shared" si="12"/>
        <v>0</v>
      </c>
      <c r="X81" s="36"/>
    </row>
    <row r="82" spans="1:24" s="38" customFormat="1" x14ac:dyDescent="0.2">
      <c r="A82" s="47" t="s">
        <v>10</v>
      </c>
      <c r="B82" s="48" t="s">
        <v>17</v>
      </c>
      <c r="C82" s="48" t="s">
        <v>12</v>
      </c>
      <c r="D82" s="48" t="s">
        <v>19</v>
      </c>
      <c r="E82" s="49" t="s">
        <v>22</v>
      </c>
      <c r="F82" s="49" t="s">
        <v>22</v>
      </c>
      <c r="G82" s="49" t="s">
        <v>13</v>
      </c>
      <c r="H82" s="64" t="s">
        <v>14</v>
      </c>
      <c r="I82" s="50" t="s">
        <v>15</v>
      </c>
      <c r="J82" s="48" t="s">
        <v>73</v>
      </c>
      <c r="K82" s="6">
        <v>1861920000</v>
      </c>
      <c r="L82" s="102">
        <f>15000000+227656800</f>
        <v>242656800</v>
      </c>
      <c r="M82" s="102"/>
      <c r="N82" s="6"/>
      <c r="O82" s="6"/>
      <c r="P82" s="6"/>
      <c r="Q82" s="6">
        <f t="shared" si="24"/>
        <v>1619263200</v>
      </c>
      <c r="R82" s="6">
        <v>1619263200</v>
      </c>
      <c r="S82" s="6">
        <v>1619263200</v>
      </c>
      <c r="T82" s="6">
        <v>849376790</v>
      </c>
      <c r="U82" s="6">
        <v>849376790</v>
      </c>
      <c r="V82" s="6">
        <v>849376790</v>
      </c>
      <c r="W82" s="89">
        <f t="shared" ref="W82:W121" si="25">S82/Q82</f>
        <v>1</v>
      </c>
      <c r="X82" s="36"/>
    </row>
    <row r="83" spans="1:24" s="38" customFormat="1" x14ac:dyDescent="0.2">
      <c r="A83" s="47" t="s">
        <v>10</v>
      </c>
      <c r="B83" s="48" t="s">
        <v>17</v>
      </c>
      <c r="C83" s="48" t="s">
        <v>12</v>
      </c>
      <c r="D83" s="48" t="s">
        <v>19</v>
      </c>
      <c r="E83" s="49" t="s">
        <v>22</v>
      </c>
      <c r="F83" s="49" t="s">
        <v>22</v>
      </c>
      <c r="G83" s="49" t="s">
        <v>124</v>
      </c>
      <c r="H83" s="64" t="s">
        <v>125</v>
      </c>
      <c r="I83" s="50" t="s">
        <v>15</v>
      </c>
      <c r="J83" s="48" t="s">
        <v>73</v>
      </c>
      <c r="K83" s="6"/>
      <c r="L83" s="102"/>
      <c r="M83" s="102">
        <v>227656800</v>
      </c>
      <c r="N83" s="6"/>
      <c r="O83" s="6"/>
      <c r="P83" s="6"/>
      <c r="Q83" s="6">
        <f t="shared" si="24"/>
        <v>227656800</v>
      </c>
      <c r="R83" s="6">
        <v>227656800</v>
      </c>
      <c r="S83" s="6">
        <v>0</v>
      </c>
      <c r="T83" s="6">
        <v>0</v>
      </c>
      <c r="U83" s="6">
        <v>0</v>
      </c>
      <c r="V83" s="6">
        <v>0</v>
      </c>
      <c r="W83" s="89">
        <f t="shared" si="25"/>
        <v>0</v>
      </c>
      <c r="X83" s="36"/>
    </row>
    <row r="84" spans="1:24" s="38" customFormat="1" x14ac:dyDescent="0.2">
      <c r="A84" s="47" t="s">
        <v>10</v>
      </c>
      <c r="B84" s="48" t="s">
        <v>17</v>
      </c>
      <c r="C84" s="48" t="s">
        <v>12</v>
      </c>
      <c r="D84" s="48" t="s">
        <v>19</v>
      </c>
      <c r="E84" s="49" t="s">
        <v>22</v>
      </c>
      <c r="F84" s="49" t="s">
        <v>55</v>
      </c>
      <c r="G84" s="49" t="s">
        <v>13</v>
      </c>
      <c r="H84" s="64" t="s">
        <v>14</v>
      </c>
      <c r="I84" s="50" t="s">
        <v>15</v>
      </c>
      <c r="J84" s="48" t="s">
        <v>74</v>
      </c>
      <c r="K84" s="6"/>
      <c r="L84" s="102">
        <v>14236357</v>
      </c>
      <c r="M84" s="102">
        <f>30000000+1719932+546711</f>
        <v>32266643</v>
      </c>
      <c r="N84" s="6"/>
      <c r="O84" s="6"/>
      <c r="P84" s="6"/>
      <c r="Q84" s="6">
        <f t="shared" si="24"/>
        <v>18030286</v>
      </c>
      <c r="R84" s="6">
        <v>18030286</v>
      </c>
      <c r="S84" s="6">
        <v>15763643</v>
      </c>
      <c r="T84" s="6">
        <v>6998586</v>
      </c>
      <c r="U84" s="6">
        <v>6998586</v>
      </c>
      <c r="V84" s="6">
        <v>6998586</v>
      </c>
      <c r="W84" s="89">
        <f t="shared" si="25"/>
        <v>0.87428690814998722</v>
      </c>
      <c r="X84" s="36"/>
    </row>
    <row r="85" spans="1:24" s="38" customFormat="1" x14ac:dyDescent="0.2">
      <c r="A85" s="47" t="s">
        <v>10</v>
      </c>
      <c r="B85" s="48" t="s">
        <v>17</v>
      </c>
      <c r="C85" s="48" t="s">
        <v>12</v>
      </c>
      <c r="D85" s="48" t="s">
        <v>19</v>
      </c>
      <c r="E85" s="49" t="s">
        <v>22</v>
      </c>
      <c r="F85" s="49" t="s">
        <v>55</v>
      </c>
      <c r="G85" s="49" t="s">
        <v>124</v>
      </c>
      <c r="H85" s="64" t="s">
        <v>125</v>
      </c>
      <c r="I85" s="50" t="s">
        <v>15</v>
      </c>
      <c r="J85" s="48" t="s">
        <v>74</v>
      </c>
      <c r="K85" s="6">
        <v>20000000</v>
      </c>
      <c r="L85" s="102">
        <v>20000000</v>
      </c>
      <c r="M85" s="102">
        <v>5236357</v>
      </c>
      <c r="N85" s="6"/>
      <c r="O85" s="6"/>
      <c r="P85" s="6"/>
      <c r="Q85" s="6">
        <f t="shared" si="24"/>
        <v>5236357</v>
      </c>
      <c r="R85" s="6">
        <v>5236357</v>
      </c>
      <c r="S85" s="6">
        <v>0</v>
      </c>
      <c r="T85" s="6">
        <v>0</v>
      </c>
      <c r="U85" s="6">
        <v>0</v>
      </c>
      <c r="V85" s="6">
        <v>0</v>
      </c>
      <c r="W85" s="89">
        <f t="shared" si="25"/>
        <v>0</v>
      </c>
      <c r="X85" s="36"/>
    </row>
    <row r="86" spans="1:24" s="38" customFormat="1" x14ac:dyDescent="0.2">
      <c r="A86" s="47" t="s">
        <v>10</v>
      </c>
      <c r="B86" s="48" t="s">
        <v>17</v>
      </c>
      <c r="C86" s="48" t="s">
        <v>12</v>
      </c>
      <c r="D86" s="48" t="s">
        <v>19</v>
      </c>
      <c r="E86" s="49" t="s">
        <v>22</v>
      </c>
      <c r="F86" s="49" t="s">
        <v>62</v>
      </c>
      <c r="G86" s="49" t="s">
        <v>13</v>
      </c>
      <c r="H86" s="64" t="s">
        <v>14</v>
      </c>
      <c r="I86" s="50" t="s">
        <v>15</v>
      </c>
      <c r="J86" s="52" t="s">
        <v>75</v>
      </c>
      <c r="K86" s="6">
        <v>800000000</v>
      </c>
      <c r="L86" s="102">
        <f>75129789+20000000</f>
        <v>95129789</v>
      </c>
      <c r="M86" s="102">
        <v>199733949.69</v>
      </c>
      <c r="N86" s="6"/>
      <c r="O86" s="6"/>
      <c r="P86" s="6"/>
      <c r="Q86" s="6">
        <f t="shared" si="24"/>
        <v>904604160.69000006</v>
      </c>
      <c r="R86" s="6">
        <v>903004160.69000006</v>
      </c>
      <c r="S86" s="6">
        <v>724604160.69000006</v>
      </c>
      <c r="T86" s="6">
        <v>325161635.68000001</v>
      </c>
      <c r="U86" s="6">
        <v>325161635.68000001</v>
      </c>
      <c r="V86" s="6">
        <v>325161635.68000001</v>
      </c>
      <c r="W86" s="89">
        <f t="shared" si="25"/>
        <v>0.80101793931314402</v>
      </c>
      <c r="X86" s="36"/>
    </row>
    <row r="87" spans="1:24" s="38" customFormat="1" x14ac:dyDescent="0.2">
      <c r="A87" s="47"/>
      <c r="B87" s="48" t="s">
        <v>17</v>
      </c>
      <c r="C87" s="48" t="s">
        <v>12</v>
      </c>
      <c r="D87" s="48" t="s">
        <v>19</v>
      </c>
      <c r="E87" s="49" t="s">
        <v>22</v>
      </c>
      <c r="F87" s="49" t="s">
        <v>62</v>
      </c>
      <c r="G87" s="49" t="s">
        <v>124</v>
      </c>
      <c r="H87" s="64" t="s">
        <v>125</v>
      </c>
      <c r="I87" s="50" t="s">
        <v>15</v>
      </c>
      <c r="J87" s="52" t="s">
        <v>75</v>
      </c>
      <c r="K87" s="6">
        <v>200000000</v>
      </c>
      <c r="L87" s="102">
        <v>200000000</v>
      </c>
      <c r="M87" s="102"/>
      <c r="N87" s="6"/>
      <c r="O87" s="6"/>
      <c r="P87" s="6"/>
      <c r="Q87" s="6">
        <f t="shared" si="24"/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89">
        <v>0</v>
      </c>
      <c r="X87" s="36"/>
    </row>
    <row r="88" spans="1:24" s="38" customFormat="1" ht="12" customHeight="1" x14ac:dyDescent="0.2">
      <c r="A88" s="47" t="s">
        <v>10</v>
      </c>
      <c r="B88" s="48" t="s">
        <v>17</v>
      </c>
      <c r="C88" s="48" t="s">
        <v>12</v>
      </c>
      <c r="D88" s="48" t="s">
        <v>19</v>
      </c>
      <c r="E88" s="49" t="s">
        <v>22</v>
      </c>
      <c r="F88" s="49" t="s">
        <v>14</v>
      </c>
      <c r="G88" s="49" t="s">
        <v>13</v>
      </c>
      <c r="H88" s="64" t="s">
        <v>14</v>
      </c>
      <c r="I88" s="50" t="s">
        <v>15</v>
      </c>
      <c r="J88" s="48" t="s">
        <v>76</v>
      </c>
      <c r="K88" s="6">
        <v>1270486400</v>
      </c>
      <c r="L88" s="102">
        <f>546711+188262406</f>
        <v>188809117</v>
      </c>
      <c r="M88" s="102">
        <v>675000000</v>
      </c>
      <c r="N88" s="6"/>
      <c r="O88" s="6"/>
      <c r="P88" s="6"/>
      <c r="Q88" s="6">
        <f t="shared" si="24"/>
        <v>1756677283</v>
      </c>
      <c r="R88" s="6">
        <v>1590486400</v>
      </c>
      <c r="S88" s="6">
        <v>1270486400</v>
      </c>
      <c r="T88" s="6">
        <v>1266754287</v>
      </c>
      <c r="U88" s="6">
        <v>1266754287</v>
      </c>
      <c r="V88" s="6">
        <v>1266754287</v>
      </c>
      <c r="W88" s="89">
        <f t="shared" si="25"/>
        <v>0.7232326690251849</v>
      </c>
      <c r="X88" s="36"/>
    </row>
    <row r="89" spans="1:24" s="38" customFormat="1" ht="12" customHeight="1" x14ac:dyDescent="0.2">
      <c r="A89" s="47"/>
      <c r="B89" s="48" t="s">
        <v>17</v>
      </c>
      <c r="C89" s="48" t="s">
        <v>12</v>
      </c>
      <c r="D89" s="48" t="s">
        <v>19</v>
      </c>
      <c r="E89" s="49" t="s">
        <v>22</v>
      </c>
      <c r="F89" s="49" t="s">
        <v>14</v>
      </c>
      <c r="G89" s="49" t="s">
        <v>124</v>
      </c>
      <c r="H89" s="64" t="s">
        <v>125</v>
      </c>
      <c r="I89" s="50" t="s">
        <v>15</v>
      </c>
      <c r="J89" s="48" t="s">
        <v>76</v>
      </c>
      <c r="K89" s="6">
        <v>279513600</v>
      </c>
      <c r="L89" s="102">
        <v>279513600</v>
      </c>
      <c r="M89" s="102"/>
      <c r="N89" s="6"/>
      <c r="O89" s="6"/>
      <c r="P89" s="6"/>
      <c r="Q89" s="6">
        <f t="shared" si="24"/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89">
        <v>0</v>
      </c>
      <c r="X89" s="36"/>
    </row>
    <row r="90" spans="1:24" s="38" customFormat="1" ht="12" customHeight="1" x14ac:dyDescent="0.2">
      <c r="A90" s="47" t="s">
        <v>10</v>
      </c>
      <c r="B90" s="48" t="s">
        <v>17</v>
      </c>
      <c r="C90" s="48" t="s">
        <v>12</v>
      </c>
      <c r="D90" s="48" t="s">
        <v>19</v>
      </c>
      <c r="E90" s="49" t="s">
        <v>22</v>
      </c>
      <c r="F90" s="49" t="s">
        <v>27</v>
      </c>
      <c r="G90" s="49" t="s">
        <v>13</v>
      </c>
      <c r="H90" s="64" t="s">
        <v>14</v>
      </c>
      <c r="I90" s="50" t="s">
        <v>15</v>
      </c>
      <c r="J90" s="48" t="s">
        <v>77</v>
      </c>
      <c r="K90" s="6">
        <v>1055000000</v>
      </c>
      <c r="L90" s="102">
        <f>4080000+290368451</f>
        <v>294448451</v>
      </c>
      <c r="M90" s="102"/>
      <c r="N90" s="6"/>
      <c r="O90" s="6"/>
      <c r="P90" s="6"/>
      <c r="Q90" s="6">
        <f t="shared" si="24"/>
        <v>760551549</v>
      </c>
      <c r="R90" s="6">
        <v>760551549</v>
      </c>
      <c r="S90" s="6">
        <v>679814749</v>
      </c>
      <c r="T90" s="6">
        <v>669257137</v>
      </c>
      <c r="U90" s="6">
        <v>669257137</v>
      </c>
      <c r="V90" s="6">
        <v>669257137</v>
      </c>
      <c r="W90" s="89">
        <f t="shared" si="25"/>
        <v>0.89384440790876618</v>
      </c>
      <c r="X90" s="36"/>
    </row>
    <row r="91" spans="1:24" s="38" customFormat="1" ht="12" customHeight="1" x14ac:dyDescent="0.2">
      <c r="A91" s="47" t="s">
        <v>10</v>
      </c>
      <c r="B91" s="48" t="s">
        <v>17</v>
      </c>
      <c r="C91" s="48" t="s">
        <v>12</v>
      </c>
      <c r="D91" s="48" t="s">
        <v>19</v>
      </c>
      <c r="E91" s="49" t="s">
        <v>22</v>
      </c>
      <c r="F91" s="49" t="s">
        <v>27</v>
      </c>
      <c r="G91" s="49" t="s">
        <v>124</v>
      </c>
      <c r="H91" s="64" t="s">
        <v>125</v>
      </c>
      <c r="I91" s="50" t="s">
        <v>15</v>
      </c>
      <c r="J91" s="48" t="s">
        <v>77</v>
      </c>
      <c r="K91" s="6"/>
      <c r="L91" s="102"/>
      <c r="M91" s="102">
        <v>290326063</v>
      </c>
      <c r="N91" s="6"/>
      <c r="O91" s="6"/>
      <c r="P91" s="6"/>
      <c r="Q91" s="6">
        <f t="shared" si="24"/>
        <v>290326063</v>
      </c>
      <c r="R91" s="6">
        <v>264263200</v>
      </c>
      <c r="S91" s="6">
        <v>48300096</v>
      </c>
      <c r="T91" s="6">
        <v>24271444</v>
      </c>
      <c r="U91" s="6">
        <v>24271444</v>
      </c>
      <c r="V91" s="6">
        <v>24271444</v>
      </c>
      <c r="W91" s="89">
        <f t="shared" si="25"/>
        <v>0.16636500182210648</v>
      </c>
      <c r="X91" s="36"/>
    </row>
    <row r="92" spans="1:24" s="35" customFormat="1" ht="13.5" customHeight="1" x14ac:dyDescent="0.2">
      <c r="A92" s="42" t="s">
        <v>10</v>
      </c>
      <c r="B92" s="43" t="s">
        <v>17</v>
      </c>
      <c r="C92" s="43" t="s">
        <v>12</v>
      </c>
      <c r="D92" s="43" t="s">
        <v>19</v>
      </c>
      <c r="E92" s="51">
        <v>6</v>
      </c>
      <c r="F92" s="44"/>
      <c r="G92" s="44"/>
      <c r="H92" s="63"/>
      <c r="I92" s="45" t="s">
        <v>15</v>
      </c>
      <c r="J92" s="43" t="s">
        <v>111</v>
      </c>
      <c r="K92" s="4">
        <f t="shared" ref="K92:P92" si="26">SUM(K93:K95)</f>
        <v>793500000</v>
      </c>
      <c r="L92" s="99">
        <f>SUM(L93:L96)</f>
        <v>4780000</v>
      </c>
      <c r="M92" s="99">
        <f>SUM(M93:M96)</f>
        <v>338727081.55000001</v>
      </c>
      <c r="N92" s="4">
        <f t="shared" si="26"/>
        <v>0</v>
      </c>
      <c r="O92" s="4">
        <f t="shared" si="26"/>
        <v>0</v>
      </c>
      <c r="P92" s="4">
        <f t="shared" si="26"/>
        <v>0</v>
      </c>
      <c r="Q92" s="4">
        <f t="shared" ref="Q92:V92" si="27">SUM(Q93:Q96)</f>
        <v>1127447081.55</v>
      </c>
      <c r="R92" s="4">
        <f t="shared" si="27"/>
        <v>1125947081.55</v>
      </c>
      <c r="S92" s="4">
        <f t="shared" si="27"/>
        <v>966168919.52999997</v>
      </c>
      <c r="T92" s="4">
        <f t="shared" si="27"/>
        <v>500030061.98000002</v>
      </c>
      <c r="U92" s="4">
        <f t="shared" si="27"/>
        <v>500030061.98000002</v>
      </c>
      <c r="V92" s="4">
        <f t="shared" si="27"/>
        <v>500030061.98000002</v>
      </c>
      <c r="W92" s="89">
        <f t="shared" si="25"/>
        <v>0.85695278771019856</v>
      </c>
      <c r="X92" s="36"/>
    </row>
    <row r="93" spans="1:24" s="38" customFormat="1" ht="12" customHeight="1" x14ac:dyDescent="0.2">
      <c r="A93" s="47" t="s">
        <v>10</v>
      </c>
      <c r="B93" s="48" t="s">
        <v>17</v>
      </c>
      <c r="C93" s="48" t="s">
        <v>12</v>
      </c>
      <c r="D93" s="48" t="s">
        <v>19</v>
      </c>
      <c r="E93" s="49" t="s">
        <v>55</v>
      </c>
      <c r="F93" s="49" t="s">
        <v>17</v>
      </c>
      <c r="G93" s="49" t="s">
        <v>13</v>
      </c>
      <c r="H93" s="64" t="s">
        <v>14</v>
      </c>
      <c r="I93" s="50" t="s">
        <v>15</v>
      </c>
      <c r="J93" s="48" t="s">
        <v>78</v>
      </c>
      <c r="K93" s="6">
        <v>101500000</v>
      </c>
      <c r="L93" s="102"/>
      <c r="M93" s="102">
        <f>700000+4080000+12520000</f>
        <v>17300000</v>
      </c>
      <c r="N93" s="6"/>
      <c r="O93" s="6"/>
      <c r="P93" s="6"/>
      <c r="Q93" s="6">
        <f>K93-L93+M93-N93-O93+P93</f>
        <v>118800000</v>
      </c>
      <c r="R93" s="6">
        <v>117300000</v>
      </c>
      <c r="S93" s="6">
        <v>100000000</v>
      </c>
      <c r="T93" s="6">
        <v>44650407</v>
      </c>
      <c r="U93" s="6">
        <v>44650407</v>
      </c>
      <c r="V93" s="6">
        <v>44650407</v>
      </c>
      <c r="W93" s="89">
        <f t="shared" si="25"/>
        <v>0.84175084175084181</v>
      </c>
      <c r="X93" s="36"/>
    </row>
    <row r="94" spans="1:24" s="38" customFormat="1" ht="12" customHeight="1" x14ac:dyDescent="0.2">
      <c r="A94" s="47" t="s">
        <v>10</v>
      </c>
      <c r="B94" s="48" t="s">
        <v>17</v>
      </c>
      <c r="C94" s="48" t="s">
        <v>12</v>
      </c>
      <c r="D94" s="48" t="s">
        <v>19</v>
      </c>
      <c r="E94" s="49" t="s">
        <v>55</v>
      </c>
      <c r="F94" s="49" t="s">
        <v>46</v>
      </c>
      <c r="G94" s="49" t="s">
        <v>13</v>
      </c>
      <c r="H94" s="64" t="s">
        <v>14</v>
      </c>
      <c r="I94" s="50" t="s">
        <v>15</v>
      </c>
      <c r="J94" s="48" t="s">
        <v>79</v>
      </c>
      <c r="K94" s="6">
        <v>58000000</v>
      </c>
      <c r="L94" s="102">
        <v>700000</v>
      </c>
      <c r="M94" s="102">
        <v>3847081.55</v>
      </c>
      <c r="N94" s="6"/>
      <c r="O94" s="6"/>
      <c r="P94" s="6"/>
      <c r="Q94" s="6">
        <f>K94-L94+M94-N94-O94+P94</f>
        <v>61147081.549999997</v>
      </c>
      <c r="R94" s="6">
        <v>61147081.549999997</v>
      </c>
      <c r="S94" s="6">
        <v>55847081.549999997</v>
      </c>
      <c r="T94" s="6">
        <v>6713575</v>
      </c>
      <c r="U94" s="6">
        <v>6713575</v>
      </c>
      <c r="V94" s="6">
        <v>6713575</v>
      </c>
      <c r="W94" s="89">
        <f t="shared" si="25"/>
        <v>0.9133237455385963</v>
      </c>
      <c r="X94" s="36"/>
    </row>
    <row r="95" spans="1:24" s="38" customFormat="1" ht="12" customHeight="1" x14ac:dyDescent="0.2">
      <c r="A95" s="47" t="s">
        <v>10</v>
      </c>
      <c r="B95" s="48" t="s">
        <v>17</v>
      </c>
      <c r="C95" s="48" t="s">
        <v>12</v>
      </c>
      <c r="D95" s="48" t="s">
        <v>19</v>
      </c>
      <c r="E95" s="49" t="s">
        <v>55</v>
      </c>
      <c r="F95" s="49" t="s">
        <v>22</v>
      </c>
      <c r="G95" s="49" t="s">
        <v>13</v>
      </c>
      <c r="H95" s="64" t="s">
        <v>14</v>
      </c>
      <c r="I95" s="50" t="s">
        <v>15</v>
      </c>
      <c r="J95" s="48" t="s">
        <v>80</v>
      </c>
      <c r="K95" s="6">
        <v>634000000</v>
      </c>
      <c r="L95" s="102">
        <v>4080000</v>
      </c>
      <c r="M95" s="102">
        <v>219016878.44999999</v>
      </c>
      <c r="N95" s="6"/>
      <c r="O95" s="6"/>
      <c r="P95" s="6"/>
      <c r="Q95" s="6">
        <f>K95-L95+M95-N95-O95+P95</f>
        <v>848936878.45000005</v>
      </c>
      <c r="R95" s="6">
        <v>848936878.45000005</v>
      </c>
      <c r="S95" s="6">
        <v>743936878.45000005</v>
      </c>
      <c r="T95" s="6">
        <v>447359437.56999999</v>
      </c>
      <c r="U95" s="6">
        <v>447359437.56999999</v>
      </c>
      <c r="V95" s="6">
        <v>447359437.56999999</v>
      </c>
      <c r="W95" s="89">
        <f t="shared" si="25"/>
        <v>0.87631589265893317</v>
      </c>
      <c r="X95" s="36"/>
    </row>
    <row r="96" spans="1:24" s="38" customFormat="1" ht="12" customHeight="1" x14ac:dyDescent="0.2">
      <c r="A96" s="47" t="s">
        <v>10</v>
      </c>
      <c r="B96" s="48" t="s">
        <v>17</v>
      </c>
      <c r="C96" s="48" t="s">
        <v>12</v>
      </c>
      <c r="D96" s="48" t="s">
        <v>19</v>
      </c>
      <c r="E96" s="49" t="s">
        <v>55</v>
      </c>
      <c r="F96" s="49" t="s">
        <v>22</v>
      </c>
      <c r="G96" s="49" t="s">
        <v>124</v>
      </c>
      <c r="H96" s="64" t="s">
        <v>125</v>
      </c>
      <c r="I96" s="50" t="s">
        <v>15</v>
      </c>
      <c r="J96" s="48" t="s">
        <v>80</v>
      </c>
      <c r="K96" s="6"/>
      <c r="L96" s="102"/>
      <c r="M96" s="102">
        <f>94483121.55+4080000</f>
        <v>98563121.549999997</v>
      </c>
      <c r="N96" s="6"/>
      <c r="O96" s="6"/>
      <c r="P96" s="6"/>
      <c r="Q96" s="6">
        <f>K96-L96+M96-N96-O96+P96</f>
        <v>98563121.549999997</v>
      </c>
      <c r="R96" s="6">
        <v>98563121.549999997</v>
      </c>
      <c r="S96" s="6">
        <v>66384959.530000001</v>
      </c>
      <c r="T96" s="6">
        <v>1306642.4099999999</v>
      </c>
      <c r="U96" s="6">
        <v>1306642.4099999999</v>
      </c>
      <c r="V96" s="6">
        <v>1306642.4099999999</v>
      </c>
      <c r="W96" s="89">
        <f t="shared" si="25"/>
        <v>0.67352736486053388</v>
      </c>
      <c r="X96" s="36"/>
    </row>
    <row r="97" spans="1:24" s="35" customFormat="1" ht="13.5" customHeight="1" x14ac:dyDescent="0.2">
      <c r="A97" s="42" t="s">
        <v>10</v>
      </c>
      <c r="B97" s="43" t="s">
        <v>17</v>
      </c>
      <c r="C97" s="43" t="s">
        <v>12</v>
      </c>
      <c r="D97" s="43" t="s">
        <v>19</v>
      </c>
      <c r="E97" s="51">
        <v>7</v>
      </c>
      <c r="F97" s="44"/>
      <c r="G97" s="44"/>
      <c r="H97" s="63"/>
      <c r="I97" s="45" t="s">
        <v>15</v>
      </c>
      <c r="J97" s="43" t="s">
        <v>112</v>
      </c>
      <c r="K97" s="4">
        <f t="shared" ref="K97:P97" si="28">SUM(K98:K98)</f>
        <v>3800000</v>
      </c>
      <c r="L97" s="99">
        <f t="shared" si="28"/>
        <v>800000</v>
      </c>
      <c r="M97" s="99">
        <f>SUM(M98:M99)</f>
        <v>30000000</v>
      </c>
      <c r="N97" s="4">
        <f t="shared" si="28"/>
        <v>0</v>
      </c>
      <c r="O97" s="4">
        <f t="shared" si="28"/>
        <v>0</v>
      </c>
      <c r="P97" s="4">
        <f t="shared" si="28"/>
        <v>0</v>
      </c>
      <c r="Q97" s="4">
        <f t="shared" ref="Q97:V97" si="29">SUM(Q98:Q99)</f>
        <v>33000000</v>
      </c>
      <c r="R97" s="4">
        <f t="shared" si="29"/>
        <v>33000000</v>
      </c>
      <c r="S97" s="4">
        <f t="shared" si="29"/>
        <v>3000000</v>
      </c>
      <c r="T97" s="4">
        <f t="shared" si="29"/>
        <v>644900</v>
      </c>
      <c r="U97" s="4">
        <f t="shared" si="29"/>
        <v>644900</v>
      </c>
      <c r="V97" s="4">
        <f t="shared" si="29"/>
        <v>644900</v>
      </c>
      <c r="W97" s="89">
        <f t="shared" si="25"/>
        <v>9.0909090909090912E-2</v>
      </c>
      <c r="X97" s="36"/>
    </row>
    <row r="98" spans="1:24" s="38" customFormat="1" ht="12" customHeight="1" x14ac:dyDescent="0.2">
      <c r="A98" s="47" t="s">
        <v>10</v>
      </c>
      <c r="B98" s="48" t="s">
        <v>17</v>
      </c>
      <c r="C98" s="48" t="s">
        <v>12</v>
      </c>
      <c r="D98" s="48" t="s">
        <v>19</v>
      </c>
      <c r="E98" s="49" t="s">
        <v>57</v>
      </c>
      <c r="F98" s="49" t="s">
        <v>55</v>
      </c>
      <c r="G98" s="49" t="s">
        <v>13</v>
      </c>
      <c r="H98" s="64" t="s">
        <v>14</v>
      </c>
      <c r="I98" s="50" t="s">
        <v>15</v>
      </c>
      <c r="J98" s="48" t="s">
        <v>81</v>
      </c>
      <c r="K98" s="6">
        <v>3800000</v>
      </c>
      <c r="L98" s="102">
        <v>800000</v>
      </c>
      <c r="M98" s="102"/>
      <c r="N98" s="6"/>
      <c r="O98" s="6"/>
      <c r="P98" s="6"/>
      <c r="Q98" s="6">
        <f>K98-L98+M98-N98-O98+P98</f>
        <v>3000000</v>
      </c>
      <c r="R98" s="6">
        <v>3000000</v>
      </c>
      <c r="S98" s="6">
        <v>3000000</v>
      </c>
      <c r="T98" s="6">
        <v>644900</v>
      </c>
      <c r="U98" s="6">
        <v>644900</v>
      </c>
      <c r="V98" s="6">
        <v>644900</v>
      </c>
      <c r="W98" s="89">
        <f t="shared" si="25"/>
        <v>1</v>
      </c>
      <c r="X98" s="36"/>
    </row>
    <row r="99" spans="1:24" s="38" customFormat="1" ht="12" customHeight="1" x14ac:dyDescent="0.2">
      <c r="A99" s="47" t="s">
        <v>10</v>
      </c>
      <c r="B99" s="48" t="s">
        <v>17</v>
      </c>
      <c r="C99" s="48" t="s">
        <v>12</v>
      </c>
      <c r="D99" s="48" t="s">
        <v>19</v>
      </c>
      <c r="E99" s="49" t="s">
        <v>57</v>
      </c>
      <c r="F99" s="49" t="s">
        <v>55</v>
      </c>
      <c r="G99" s="49" t="s">
        <v>124</v>
      </c>
      <c r="H99" s="64" t="s">
        <v>125</v>
      </c>
      <c r="I99" s="50" t="s">
        <v>15</v>
      </c>
      <c r="J99" s="48" t="s">
        <v>81</v>
      </c>
      <c r="K99" s="6"/>
      <c r="L99" s="102"/>
      <c r="M99" s="102">
        <v>30000000</v>
      </c>
      <c r="N99" s="6"/>
      <c r="O99" s="6"/>
      <c r="P99" s="6"/>
      <c r="Q99" s="6">
        <f>K99-L99+M99-N99-O99+P99</f>
        <v>30000000</v>
      </c>
      <c r="R99" s="6">
        <v>30000000</v>
      </c>
      <c r="S99" s="6">
        <v>0</v>
      </c>
      <c r="T99" s="6">
        <v>0</v>
      </c>
      <c r="U99" s="6">
        <v>0</v>
      </c>
      <c r="V99" s="6">
        <v>0</v>
      </c>
      <c r="W99" s="89">
        <f t="shared" si="25"/>
        <v>0</v>
      </c>
      <c r="X99" s="36"/>
    </row>
    <row r="100" spans="1:24" s="35" customFormat="1" ht="13.5" customHeight="1" x14ac:dyDescent="0.2">
      <c r="A100" s="42" t="s">
        <v>10</v>
      </c>
      <c r="B100" s="43" t="s">
        <v>17</v>
      </c>
      <c r="C100" s="43" t="s">
        <v>12</v>
      </c>
      <c r="D100" s="43" t="s">
        <v>19</v>
      </c>
      <c r="E100" s="51">
        <v>8</v>
      </c>
      <c r="F100" s="44"/>
      <c r="G100" s="44"/>
      <c r="H100" s="63"/>
      <c r="I100" s="45" t="s">
        <v>15</v>
      </c>
      <c r="J100" s="43" t="s">
        <v>113</v>
      </c>
      <c r="K100" s="4">
        <f t="shared" ref="K100:P100" si="30">SUM(K101:K109)</f>
        <v>700000000</v>
      </c>
      <c r="L100" s="99">
        <f>SUM(L101:L110)</f>
        <v>382932076.56</v>
      </c>
      <c r="M100" s="99">
        <f>SUM(M101:M110)</f>
        <v>398232076.56</v>
      </c>
      <c r="N100" s="4">
        <f t="shared" si="30"/>
        <v>0</v>
      </c>
      <c r="O100" s="4">
        <f t="shared" si="30"/>
        <v>0</v>
      </c>
      <c r="P100" s="4">
        <f t="shared" si="30"/>
        <v>0</v>
      </c>
      <c r="Q100" s="4">
        <f t="shared" ref="Q100:V100" si="31">SUM(Q101:Q110)</f>
        <v>715300000</v>
      </c>
      <c r="R100" s="4">
        <f t="shared" si="31"/>
        <v>700000000</v>
      </c>
      <c r="S100" s="4">
        <f t="shared" si="31"/>
        <v>374006999.44999999</v>
      </c>
      <c r="T100" s="4">
        <f t="shared" si="31"/>
        <v>373868168.44999999</v>
      </c>
      <c r="U100" s="4">
        <f t="shared" si="31"/>
        <v>373815728.44999999</v>
      </c>
      <c r="V100" s="4">
        <f t="shared" si="31"/>
        <v>373815728.44999999</v>
      </c>
      <c r="W100" s="89">
        <f t="shared" si="25"/>
        <v>0.52286732762477284</v>
      </c>
      <c r="X100" s="36"/>
    </row>
    <row r="101" spans="1:24" s="38" customFormat="1" ht="12" customHeight="1" x14ac:dyDescent="0.2">
      <c r="A101" s="47" t="s">
        <v>10</v>
      </c>
      <c r="B101" s="48" t="s">
        <v>17</v>
      </c>
      <c r="C101" s="48" t="s">
        <v>12</v>
      </c>
      <c r="D101" s="48" t="s">
        <v>19</v>
      </c>
      <c r="E101" s="49" t="s">
        <v>62</v>
      </c>
      <c r="F101" s="49" t="s">
        <v>11</v>
      </c>
      <c r="G101" s="49" t="s">
        <v>13</v>
      </c>
      <c r="H101" s="64" t="s">
        <v>14</v>
      </c>
      <c r="I101" s="50" t="s">
        <v>15</v>
      </c>
      <c r="J101" s="48" t="s">
        <v>82</v>
      </c>
      <c r="K101" s="6">
        <v>89216392</v>
      </c>
      <c r="L101" s="102">
        <v>61427370</v>
      </c>
      <c r="M101" s="102">
        <f>2000000+4400000</f>
        <v>6400000</v>
      </c>
      <c r="N101" s="6"/>
      <c r="O101" s="6"/>
      <c r="P101" s="6"/>
      <c r="Q101" s="6">
        <f>K101-L101+M101-N101-O101+P101</f>
        <v>34189022</v>
      </c>
      <c r="R101" s="6">
        <v>29789022</v>
      </c>
      <c r="S101" s="6">
        <v>28522287</v>
      </c>
      <c r="T101" s="6">
        <v>28522287</v>
      </c>
      <c r="U101" s="6">
        <v>28469847</v>
      </c>
      <c r="V101" s="6">
        <v>28469847</v>
      </c>
      <c r="W101" s="89">
        <f t="shared" si="25"/>
        <v>0.83425279026700438</v>
      </c>
      <c r="X101" s="36"/>
    </row>
    <row r="102" spans="1:24" s="38" customFormat="1" ht="12" customHeight="1" x14ac:dyDescent="0.2">
      <c r="A102" s="47" t="s">
        <v>10</v>
      </c>
      <c r="B102" s="48" t="s">
        <v>17</v>
      </c>
      <c r="C102" s="48" t="s">
        <v>12</v>
      </c>
      <c r="D102" s="48" t="s">
        <v>19</v>
      </c>
      <c r="E102" s="49" t="s">
        <v>62</v>
      </c>
      <c r="F102" s="49" t="s">
        <v>11</v>
      </c>
      <c r="G102" s="49" t="s">
        <v>124</v>
      </c>
      <c r="H102" s="64" t="s">
        <v>125</v>
      </c>
      <c r="I102" s="50" t="s">
        <v>15</v>
      </c>
      <c r="J102" s="48" t="s">
        <v>82</v>
      </c>
      <c r="K102" s="6"/>
      <c r="L102" s="102"/>
      <c r="M102" s="102">
        <v>61427370</v>
      </c>
      <c r="N102" s="6"/>
      <c r="O102" s="6"/>
      <c r="P102" s="6"/>
      <c r="Q102" s="6">
        <f>K102-L102+M102-N102-O102+P102</f>
        <v>61427370</v>
      </c>
      <c r="R102" s="6">
        <v>61427370</v>
      </c>
      <c r="S102" s="6">
        <v>5007285</v>
      </c>
      <c r="T102" s="6">
        <v>5007285</v>
      </c>
      <c r="U102" s="6">
        <v>5007285</v>
      </c>
      <c r="V102" s="6">
        <v>5007285</v>
      </c>
      <c r="W102" s="89">
        <f t="shared" si="25"/>
        <v>8.1515536152695453E-2</v>
      </c>
      <c r="X102" s="36"/>
    </row>
    <row r="103" spans="1:24" s="38" customFormat="1" ht="12" customHeight="1" x14ac:dyDescent="0.2">
      <c r="A103" s="47" t="s">
        <v>10</v>
      </c>
      <c r="B103" s="48" t="s">
        <v>17</v>
      </c>
      <c r="C103" s="48" t="s">
        <v>12</v>
      </c>
      <c r="D103" s="48" t="s">
        <v>19</v>
      </c>
      <c r="E103" s="49" t="s">
        <v>62</v>
      </c>
      <c r="F103" s="49" t="s">
        <v>17</v>
      </c>
      <c r="G103" s="49" t="s">
        <v>13</v>
      </c>
      <c r="H103" s="64" t="s">
        <v>14</v>
      </c>
      <c r="I103" s="50" t="s">
        <v>15</v>
      </c>
      <c r="J103" s="48" t="s">
        <v>83</v>
      </c>
      <c r="K103" s="6">
        <v>452951682</v>
      </c>
      <c r="L103" s="102">
        <f>223313002+4000000</f>
        <v>227313002</v>
      </c>
      <c r="M103" s="102">
        <v>7500000</v>
      </c>
      <c r="N103" s="6"/>
      <c r="O103" s="6"/>
      <c r="P103" s="6"/>
      <c r="Q103" s="6">
        <f>K103-L103+M103-N103-O103+P103</f>
        <v>233138680</v>
      </c>
      <c r="R103" s="6">
        <v>225638680</v>
      </c>
      <c r="S103" s="6">
        <v>222926941</v>
      </c>
      <c r="T103" s="6">
        <v>222926941</v>
      </c>
      <c r="U103" s="6">
        <v>222926941</v>
      </c>
      <c r="V103" s="6">
        <v>222926941</v>
      </c>
      <c r="W103" s="89">
        <f t="shared" si="25"/>
        <v>0.95619886412670774</v>
      </c>
      <c r="X103" s="36"/>
    </row>
    <row r="104" spans="1:24" s="38" customFormat="1" ht="12" customHeight="1" x14ac:dyDescent="0.2">
      <c r="A104" s="47" t="s">
        <v>10</v>
      </c>
      <c r="B104" s="48" t="s">
        <v>17</v>
      </c>
      <c r="C104" s="48" t="s">
        <v>12</v>
      </c>
      <c r="D104" s="48" t="s">
        <v>19</v>
      </c>
      <c r="E104" s="49" t="s">
        <v>62</v>
      </c>
      <c r="F104" s="49" t="s">
        <v>17</v>
      </c>
      <c r="G104" s="49" t="s">
        <v>124</v>
      </c>
      <c r="H104" s="64" t="s">
        <v>125</v>
      </c>
      <c r="I104" s="50" t="s">
        <v>15</v>
      </c>
      <c r="J104" s="48" t="s">
        <v>83</v>
      </c>
      <c r="K104" s="6"/>
      <c r="L104" s="102"/>
      <c r="M104" s="102">
        <v>223313002</v>
      </c>
      <c r="N104" s="6"/>
      <c r="O104" s="6"/>
      <c r="P104" s="6"/>
      <c r="Q104" s="6">
        <f>K104-L104+M104-N104-O104+P104</f>
        <v>223313002</v>
      </c>
      <c r="R104" s="6">
        <v>223313002</v>
      </c>
      <c r="S104" s="6">
        <v>34370659</v>
      </c>
      <c r="T104" s="6">
        <v>34273009</v>
      </c>
      <c r="U104" s="6">
        <v>34273009</v>
      </c>
      <c r="V104" s="6">
        <v>34273009</v>
      </c>
      <c r="W104" s="89">
        <f t="shared" si="25"/>
        <v>0.1539124846837176</v>
      </c>
      <c r="X104" s="36"/>
    </row>
    <row r="105" spans="1:24" s="38" customFormat="1" ht="12" customHeight="1" x14ac:dyDescent="0.2">
      <c r="A105" s="47" t="s">
        <v>10</v>
      </c>
      <c r="B105" s="48" t="s">
        <v>17</v>
      </c>
      <c r="C105" s="48" t="s">
        <v>12</v>
      </c>
      <c r="D105" s="48" t="s">
        <v>19</v>
      </c>
      <c r="E105" s="49" t="s">
        <v>62</v>
      </c>
      <c r="F105" s="49" t="s">
        <v>46</v>
      </c>
      <c r="G105" s="49" t="s">
        <v>13</v>
      </c>
      <c r="H105" s="64" t="s">
        <v>14</v>
      </c>
      <c r="I105" s="50" t="s">
        <v>15</v>
      </c>
      <c r="J105" s="48" t="s">
        <v>84</v>
      </c>
      <c r="K105" s="6">
        <v>1543352</v>
      </c>
      <c r="L105" s="102">
        <v>72520.98</v>
      </c>
      <c r="M105" s="102"/>
      <c r="N105" s="6"/>
      <c r="O105" s="6"/>
      <c r="P105" s="6"/>
      <c r="Q105" s="6">
        <f>K105-L105+M105-N105-O105+P105</f>
        <v>1470831.02</v>
      </c>
      <c r="R105" s="6">
        <v>1470831.02</v>
      </c>
      <c r="S105" s="6">
        <v>1060975</v>
      </c>
      <c r="T105" s="6">
        <v>1019794</v>
      </c>
      <c r="U105" s="6">
        <v>1019794</v>
      </c>
      <c r="V105" s="6">
        <v>1019794</v>
      </c>
      <c r="W105" s="89">
        <f t="shared" si="25"/>
        <v>0.72134391073693838</v>
      </c>
      <c r="X105" s="36"/>
    </row>
    <row r="106" spans="1:24" s="38" customFormat="1" ht="12" customHeight="1" x14ac:dyDescent="0.2">
      <c r="A106" s="47" t="s">
        <v>10</v>
      </c>
      <c r="B106" s="48" t="s">
        <v>17</v>
      </c>
      <c r="C106" s="48" t="s">
        <v>12</v>
      </c>
      <c r="D106" s="48" t="s">
        <v>19</v>
      </c>
      <c r="E106" s="49" t="s">
        <v>62</v>
      </c>
      <c r="F106" s="49" t="s">
        <v>46</v>
      </c>
      <c r="G106" s="49" t="s">
        <v>13</v>
      </c>
      <c r="H106" s="64" t="s">
        <v>125</v>
      </c>
      <c r="I106" s="50" t="s">
        <v>15</v>
      </c>
      <c r="J106" s="48" t="s">
        <v>84</v>
      </c>
      <c r="K106" s="6"/>
      <c r="L106" s="102"/>
      <c r="M106" s="102">
        <v>72520.98</v>
      </c>
      <c r="N106" s="6"/>
      <c r="O106" s="6"/>
      <c r="P106" s="6"/>
      <c r="Q106" s="6">
        <f t="shared" ref="Q106:Q110" si="32">K106-L106+M106-N106-O106+P106</f>
        <v>72520.98</v>
      </c>
      <c r="R106" s="6">
        <v>72520.98</v>
      </c>
      <c r="S106" s="6">
        <v>0</v>
      </c>
      <c r="T106" s="6">
        <v>0</v>
      </c>
      <c r="U106" s="6">
        <v>0</v>
      </c>
      <c r="V106" s="6">
        <v>0</v>
      </c>
      <c r="W106" s="89">
        <f t="shared" si="25"/>
        <v>0</v>
      </c>
      <c r="X106" s="36"/>
    </row>
    <row r="107" spans="1:24" s="38" customFormat="1" ht="12" customHeight="1" x14ac:dyDescent="0.2">
      <c r="A107" s="47" t="s">
        <v>10</v>
      </c>
      <c r="B107" s="48" t="s">
        <v>17</v>
      </c>
      <c r="C107" s="48" t="s">
        <v>12</v>
      </c>
      <c r="D107" s="48" t="s">
        <v>19</v>
      </c>
      <c r="E107" s="49" t="s">
        <v>62</v>
      </c>
      <c r="F107" s="49" t="s">
        <v>22</v>
      </c>
      <c r="G107" s="49" t="s">
        <v>13</v>
      </c>
      <c r="H107" s="64" t="s">
        <v>14</v>
      </c>
      <c r="I107" s="50" t="s">
        <v>15</v>
      </c>
      <c r="J107" s="48" t="s">
        <v>85</v>
      </c>
      <c r="K107" s="6">
        <v>56688303</v>
      </c>
      <c r="L107" s="102">
        <v>41995614.579999998</v>
      </c>
      <c r="M107" s="102"/>
      <c r="N107" s="6"/>
      <c r="O107" s="6"/>
      <c r="P107" s="6"/>
      <c r="Q107" s="6">
        <f t="shared" si="32"/>
        <v>14692688.420000002</v>
      </c>
      <c r="R107" s="6">
        <v>14692688.42</v>
      </c>
      <c r="S107" s="6">
        <v>14692688.42</v>
      </c>
      <c r="T107" s="6">
        <v>14692688.42</v>
      </c>
      <c r="U107" s="6">
        <v>14692688.42</v>
      </c>
      <c r="V107" s="6">
        <v>14692688.42</v>
      </c>
      <c r="W107" s="89">
        <f t="shared" si="25"/>
        <v>0.99999999999999989</v>
      </c>
      <c r="X107" s="36"/>
    </row>
    <row r="108" spans="1:24" s="38" customFormat="1" ht="12" customHeight="1" x14ac:dyDescent="0.2">
      <c r="A108" s="47" t="s">
        <v>10</v>
      </c>
      <c r="B108" s="48" t="s">
        <v>17</v>
      </c>
      <c r="C108" s="48" t="s">
        <v>12</v>
      </c>
      <c r="D108" s="48" t="s">
        <v>19</v>
      </c>
      <c r="E108" s="49" t="s">
        <v>62</v>
      </c>
      <c r="F108" s="49" t="s">
        <v>22</v>
      </c>
      <c r="G108" s="49" t="s">
        <v>124</v>
      </c>
      <c r="H108" s="64" t="s">
        <v>125</v>
      </c>
      <c r="I108" s="50" t="s">
        <v>15</v>
      </c>
      <c r="J108" s="48" t="s">
        <v>85</v>
      </c>
      <c r="K108" s="6"/>
      <c r="L108" s="102"/>
      <c r="M108" s="102">
        <v>41995614.579999998</v>
      </c>
      <c r="N108" s="6"/>
      <c r="O108" s="6"/>
      <c r="P108" s="6"/>
      <c r="Q108" s="6">
        <f t="shared" si="32"/>
        <v>41995614.579999998</v>
      </c>
      <c r="R108" s="6">
        <v>41995614.579999998</v>
      </c>
      <c r="S108" s="6">
        <v>6935820.0300000003</v>
      </c>
      <c r="T108" s="6">
        <v>6935820.0300000003</v>
      </c>
      <c r="U108" s="6">
        <v>6935820.0300000003</v>
      </c>
      <c r="V108" s="6">
        <v>6935820.0300000003</v>
      </c>
      <c r="W108" s="89">
        <f t="shared" si="25"/>
        <v>0.16515581684815053</v>
      </c>
      <c r="X108" s="36"/>
    </row>
    <row r="109" spans="1:24" s="38" customFormat="1" ht="12" customHeight="1" x14ac:dyDescent="0.2">
      <c r="A109" s="47" t="s">
        <v>10</v>
      </c>
      <c r="B109" s="48" t="s">
        <v>17</v>
      </c>
      <c r="C109" s="48" t="s">
        <v>12</v>
      </c>
      <c r="D109" s="48" t="s">
        <v>19</v>
      </c>
      <c r="E109" s="49" t="s">
        <v>62</v>
      </c>
      <c r="F109" s="49" t="s">
        <v>55</v>
      </c>
      <c r="G109" s="49" t="s">
        <v>13</v>
      </c>
      <c r="H109" s="64" t="s">
        <v>14</v>
      </c>
      <c r="I109" s="50" t="s">
        <v>15</v>
      </c>
      <c r="J109" s="48" t="s">
        <v>86</v>
      </c>
      <c r="K109" s="6">
        <v>99600271</v>
      </c>
      <c r="L109" s="102">
        <v>52123569</v>
      </c>
      <c r="M109" s="102">
        <f>2000000+3400000</f>
        <v>5400000</v>
      </c>
      <c r="N109" s="6"/>
      <c r="O109" s="6"/>
      <c r="P109" s="6"/>
      <c r="Q109" s="6">
        <f t="shared" si="32"/>
        <v>52876702</v>
      </c>
      <c r="R109" s="6">
        <v>49476702</v>
      </c>
      <c r="S109" s="6">
        <v>47957687</v>
      </c>
      <c r="T109" s="6">
        <v>47957687</v>
      </c>
      <c r="U109" s="6">
        <v>47957687</v>
      </c>
      <c r="V109" s="6">
        <v>47957687</v>
      </c>
      <c r="W109" s="89">
        <f t="shared" si="25"/>
        <v>0.90697197794219464</v>
      </c>
      <c r="X109" s="36"/>
    </row>
    <row r="110" spans="1:24" s="38" customFormat="1" ht="12" customHeight="1" x14ac:dyDescent="0.2">
      <c r="A110" s="47" t="s">
        <v>10</v>
      </c>
      <c r="B110" s="48" t="s">
        <v>17</v>
      </c>
      <c r="C110" s="48" t="s">
        <v>12</v>
      </c>
      <c r="D110" s="48" t="s">
        <v>19</v>
      </c>
      <c r="E110" s="49" t="s">
        <v>62</v>
      </c>
      <c r="F110" s="49" t="s">
        <v>55</v>
      </c>
      <c r="G110" s="49" t="s">
        <v>124</v>
      </c>
      <c r="H110" s="64" t="s">
        <v>125</v>
      </c>
      <c r="I110" s="50" t="s">
        <v>15</v>
      </c>
      <c r="J110" s="48" t="s">
        <v>86</v>
      </c>
      <c r="K110" s="6"/>
      <c r="L110" s="102"/>
      <c r="M110" s="102">
        <v>52123569</v>
      </c>
      <c r="N110" s="6"/>
      <c r="O110" s="6"/>
      <c r="P110" s="6"/>
      <c r="Q110" s="6">
        <f t="shared" si="32"/>
        <v>52123569</v>
      </c>
      <c r="R110" s="6">
        <v>52123569</v>
      </c>
      <c r="S110" s="6">
        <v>12532657</v>
      </c>
      <c r="T110" s="6">
        <v>12532657</v>
      </c>
      <c r="U110" s="6">
        <v>12532657</v>
      </c>
      <c r="V110" s="6">
        <v>12532657</v>
      </c>
      <c r="W110" s="89">
        <f t="shared" si="25"/>
        <v>0.2404412675578681</v>
      </c>
      <c r="X110" s="36"/>
    </row>
    <row r="111" spans="1:24" s="35" customFormat="1" ht="13.5" customHeight="1" x14ac:dyDescent="0.2">
      <c r="A111" s="42" t="s">
        <v>10</v>
      </c>
      <c r="B111" s="43" t="s">
        <v>17</v>
      </c>
      <c r="C111" s="43" t="s">
        <v>12</v>
      </c>
      <c r="D111" s="43" t="s">
        <v>19</v>
      </c>
      <c r="E111" s="51">
        <v>9</v>
      </c>
      <c r="F111" s="44"/>
      <c r="G111" s="44"/>
      <c r="H111" s="63"/>
      <c r="I111" s="45" t="s">
        <v>15</v>
      </c>
      <c r="J111" s="43" t="s">
        <v>114</v>
      </c>
      <c r="K111" s="4">
        <f t="shared" ref="K111:P111" si="33">SUM(K112:K112)</f>
        <v>1370127000</v>
      </c>
      <c r="L111" s="99">
        <f>SUM(L112:L113)</f>
        <v>719282534</v>
      </c>
      <c r="M111" s="99">
        <f>SUM(M112:M113)</f>
        <v>551011987</v>
      </c>
      <c r="N111" s="4">
        <f t="shared" si="33"/>
        <v>0</v>
      </c>
      <c r="O111" s="4">
        <f t="shared" si="33"/>
        <v>0</v>
      </c>
      <c r="P111" s="4">
        <f t="shared" si="33"/>
        <v>0</v>
      </c>
      <c r="Q111" s="4">
        <f>SUM(Q112:Q113)</f>
        <v>1201856453</v>
      </c>
      <c r="R111" s="4">
        <f t="shared" ref="R111:V111" si="34">SUM(R112:R113)</f>
        <v>1201206453</v>
      </c>
      <c r="S111" s="4">
        <f t="shared" si="34"/>
        <v>577656453</v>
      </c>
      <c r="T111" s="4">
        <f t="shared" si="34"/>
        <v>563447101</v>
      </c>
      <c r="U111" s="4">
        <f t="shared" si="34"/>
        <v>563447101</v>
      </c>
      <c r="V111" s="4">
        <f t="shared" si="34"/>
        <v>563447101</v>
      </c>
      <c r="W111" s="89">
        <f t="shared" si="25"/>
        <v>0.48063681112506368</v>
      </c>
      <c r="X111" s="36"/>
    </row>
    <row r="112" spans="1:24" s="38" customFormat="1" ht="12" customHeight="1" x14ac:dyDescent="0.2">
      <c r="A112" s="47" t="s">
        <v>10</v>
      </c>
      <c r="B112" s="48" t="s">
        <v>17</v>
      </c>
      <c r="C112" s="48" t="s">
        <v>12</v>
      </c>
      <c r="D112" s="48" t="s">
        <v>19</v>
      </c>
      <c r="E112" s="49" t="s">
        <v>43</v>
      </c>
      <c r="F112" s="49" t="s">
        <v>87</v>
      </c>
      <c r="G112" s="49" t="s">
        <v>13</v>
      </c>
      <c r="H112" s="64" t="s">
        <v>14</v>
      </c>
      <c r="I112" s="50" t="s">
        <v>15</v>
      </c>
      <c r="J112" s="48" t="s">
        <v>88</v>
      </c>
      <c r="K112" s="6">
        <v>1370127000</v>
      </c>
      <c r="L112" s="102">
        <f>331700000+42500000+50582534</f>
        <v>424782534</v>
      </c>
      <c r="M112" s="102">
        <v>256511987</v>
      </c>
      <c r="N112" s="6"/>
      <c r="O112" s="6"/>
      <c r="P112" s="6"/>
      <c r="Q112" s="6">
        <f>K112-L112+M112-N112-O112+P112</f>
        <v>1201856453</v>
      </c>
      <c r="R112" s="6">
        <v>1201206453</v>
      </c>
      <c r="S112" s="6">
        <v>577656453</v>
      </c>
      <c r="T112" s="6">
        <v>563447101</v>
      </c>
      <c r="U112" s="6">
        <v>563447101</v>
      </c>
      <c r="V112" s="6">
        <v>563447101</v>
      </c>
      <c r="W112" s="89">
        <f t="shared" si="25"/>
        <v>0.48063681112506368</v>
      </c>
      <c r="X112" s="36"/>
    </row>
    <row r="113" spans="1:24" s="38" customFormat="1" ht="12" customHeight="1" x14ac:dyDescent="0.2">
      <c r="A113" s="47" t="s">
        <v>10</v>
      </c>
      <c r="B113" s="48" t="s">
        <v>17</v>
      </c>
      <c r="C113" s="48" t="s">
        <v>12</v>
      </c>
      <c r="D113" s="48" t="s">
        <v>19</v>
      </c>
      <c r="E113" s="49" t="s">
        <v>43</v>
      </c>
      <c r="F113" s="49" t="s">
        <v>87</v>
      </c>
      <c r="G113" s="49" t="s">
        <v>124</v>
      </c>
      <c r="H113" s="64" t="s">
        <v>125</v>
      </c>
      <c r="I113" s="50" t="s">
        <v>15</v>
      </c>
      <c r="J113" s="48" t="s">
        <v>88</v>
      </c>
      <c r="K113" s="6"/>
      <c r="L113" s="102">
        <v>294500000</v>
      </c>
      <c r="M113" s="102">
        <f>19500000+107000000+20000000+148000000</f>
        <v>294500000</v>
      </c>
      <c r="N113" s="6"/>
      <c r="O113" s="6"/>
      <c r="P113" s="6"/>
      <c r="Q113" s="6">
        <f>K113-L113+M113-N113-O113+P113</f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89">
        <v>0</v>
      </c>
      <c r="X113" s="36"/>
    </row>
    <row r="114" spans="1:24" s="35" customFormat="1" ht="13.5" customHeight="1" x14ac:dyDescent="0.2">
      <c r="A114" s="42" t="s">
        <v>10</v>
      </c>
      <c r="B114" s="43" t="s">
        <v>17</v>
      </c>
      <c r="C114" s="43" t="s">
        <v>12</v>
      </c>
      <c r="D114" s="43" t="s">
        <v>19</v>
      </c>
      <c r="E114" s="51">
        <v>10</v>
      </c>
      <c r="F114" s="54"/>
      <c r="G114" s="44"/>
      <c r="H114" s="63"/>
      <c r="I114" s="45" t="s">
        <v>15</v>
      </c>
      <c r="J114" s="43" t="s">
        <v>115</v>
      </c>
      <c r="K114" s="4">
        <f>SUM(K115:K116)</f>
        <v>3096000000</v>
      </c>
      <c r="L114" s="99">
        <f>SUM(L115:L116)</f>
        <v>19500000</v>
      </c>
      <c r="M114" s="99">
        <f>SUM(M115:M116)</f>
        <v>106890396</v>
      </c>
      <c r="N114" s="4">
        <f t="shared" ref="N114:P114" si="35">SUM(N115:N115)</f>
        <v>0</v>
      </c>
      <c r="O114" s="4">
        <f t="shared" si="35"/>
        <v>0</v>
      </c>
      <c r="P114" s="4">
        <f t="shared" si="35"/>
        <v>0</v>
      </c>
      <c r="Q114" s="4">
        <f t="shared" ref="Q114:V114" si="36">SUM(Q115:Q116)</f>
        <v>3183390396</v>
      </c>
      <c r="R114" s="4">
        <f t="shared" si="36"/>
        <v>3063540823</v>
      </c>
      <c r="S114" s="4">
        <f t="shared" si="36"/>
        <v>2998149573</v>
      </c>
      <c r="T114" s="4">
        <f t="shared" si="36"/>
        <v>1790374967</v>
      </c>
      <c r="U114" s="4">
        <f t="shared" si="36"/>
        <v>1790374967</v>
      </c>
      <c r="V114" s="4">
        <f t="shared" si="36"/>
        <v>1790374967</v>
      </c>
      <c r="W114" s="89">
        <f t="shared" si="25"/>
        <v>0.94181020862764453</v>
      </c>
      <c r="X114" s="36"/>
    </row>
    <row r="115" spans="1:24" s="38" customFormat="1" ht="12" customHeight="1" x14ac:dyDescent="0.2">
      <c r="A115" s="47" t="s">
        <v>10</v>
      </c>
      <c r="B115" s="48" t="s">
        <v>17</v>
      </c>
      <c r="C115" s="48" t="s">
        <v>12</v>
      </c>
      <c r="D115" s="48" t="s">
        <v>19</v>
      </c>
      <c r="E115" s="49" t="s">
        <v>14</v>
      </c>
      <c r="F115" s="54">
        <v>2</v>
      </c>
      <c r="G115" s="49" t="s">
        <v>13</v>
      </c>
      <c r="H115" s="64" t="s">
        <v>14</v>
      </c>
      <c r="I115" s="50" t="s">
        <v>15</v>
      </c>
      <c r="J115" s="48" t="s">
        <v>164</v>
      </c>
      <c r="K115" s="6">
        <v>2978000000</v>
      </c>
      <c r="L115" s="102"/>
      <c r="M115" s="102">
        <f>19500000+800000+14460000+25780823</f>
        <v>60540823</v>
      </c>
      <c r="N115" s="6"/>
      <c r="O115" s="6"/>
      <c r="P115" s="6"/>
      <c r="Q115" s="6">
        <f>K115-L115+M115-N115-O115+P115</f>
        <v>3038540823</v>
      </c>
      <c r="R115" s="6">
        <v>3038540823</v>
      </c>
      <c r="S115" s="6">
        <v>2998149573</v>
      </c>
      <c r="T115" s="6">
        <v>1790374967</v>
      </c>
      <c r="U115" s="6">
        <v>1790374967</v>
      </c>
      <c r="V115" s="6">
        <v>1790374967</v>
      </c>
      <c r="W115" s="89">
        <f t="shared" si="25"/>
        <v>0.98670702407739219</v>
      </c>
      <c r="X115" s="36"/>
    </row>
    <row r="116" spans="1:24" s="38" customFormat="1" ht="12" customHeight="1" x14ac:dyDescent="0.2">
      <c r="A116" s="47"/>
      <c r="B116" s="48" t="s">
        <v>17</v>
      </c>
      <c r="C116" s="48" t="s">
        <v>12</v>
      </c>
      <c r="D116" s="48" t="s">
        <v>19</v>
      </c>
      <c r="E116" s="49" t="s">
        <v>14</v>
      </c>
      <c r="F116" s="54">
        <v>2</v>
      </c>
      <c r="G116" s="49" t="s">
        <v>124</v>
      </c>
      <c r="H116" s="64" t="s">
        <v>125</v>
      </c>
      <c r="I116" s="50" t="s">
        <v>15</v>
      </c>
      <c r="J116" s="48" t="s">
        <v>164</v>
      </c>
      <c r="K116" s="6">
        <v>118000000</v>
      </c>
      <c r="L116" s="102">
        <v>19500000</v>
      </c>
      <c r="M116" s="102">
        <v>46349573</v>
      </c>
      <c r="N116" s="6"/>
      <c r="O116" s="6"/>
      <c r="P116" s="6"/>
      <c r="Q116" s="6">
        <f>K116-L116+M116-N116-O116+P116</f>
        <v>144849573</v>
      </c>
      <c r="R116" s="6">
        <v>25000000</v>
      </c>
      <c r="S116" s="6">
        <v>0</v>
      </c>
      <c r="T116" s="6">
        <v>0</v>
      </c>
      <c r="U116" s="6">
        <v>0</v>
      </c>
      <c r="V116" s="6">
        <v>0</v>
      </c>
      <c r="W116" s="89">
        <f t="shared" si="25"/>
        <v>0</v>
      </c>
      <c r="X116" s="36"/>
    </row>
    <row r="117" spans="1:24" s="35" customFormat="1" ht="12.75" customHeight="1" x14ac:dyDescent="0.2">
      <c r="A117" s="42" t="s">
        <v>10</v>
      </c>
      <c r="B117" s="43" t="s">
        <v>17</v>
      </c>
      <c r="C117" s="43" t="s">
        <v>12</v>
      </c>
      <c r="D117" s="43" t="s">
        <v>19</v>
      </c>
      <c r="E117" s="51">
        <v>11</v>
      </c>
      <c r="F117" s="44"/>
      <c r="G117" s="44"/>
      <c r="H117" s="63"/>
      <c r="I117" s="45" t="s">
        <v>15</v>
      </c>
      <c r="J117" s="43" t="s">
        <v>116</v>
      </c>
      <c r="K117" s="2">
        <f>SUM(K118:K119)</f>
        <v>358600000</v>
      </c>
      <c r="L117" s="103">
        <f>SUM(L118:L120)</f>
        <v>26983842.050000001</v>
      </c>
      <c r="M117" s="103">
        <f>SUM(M118:M120)</f>
        <v>15000000</v>
      </c>
      <c r="N117" s="2">
        <f t="shared" ref="N117:V117" si="37">SUM(N118:N119)</f>
        <v>0</v>
      </c>
      <c r="O117" s="2">
        <f t="shared" si="37"/>
        <v>0</v>
      </c>
      <c r="P117" s="2">
        <f t="shared" si="37"/>
        <v>0</v>
      </c>
      <c r="Q117" s="2">
        <f>SUM(Q118:Q120)</f>
        <v>346616157.94999999</v>
      </c>
      <c r="R117" s="2">
        <f>SUM(R118:R119)</f>
        <v>339616157.94999999</v>
      </c>
      <c r="S117" s="2">
        <f t="shared" si="37"/>
        <v>244207864.5</v>
      </c>
      <c r="T117" s="2">
        <f t="shared" si="37"/>
        <v>228384623.5</v>
      </c>
      <c r="U117" s="2">
        <f t="shared" si="37"/>
        <v>228384623.5</v>
      </c>
      <c r="V117" s="2">
        <f t="shared" si="37"/>
        <v>228306639.5</v>
      </c>
      <c r="W117" s="89">
        <f t="shared" si="25"/>
        <v>0.70454841443146865</v>
      </c>
      <c r="X117" s="36"/>
    </row>
    <row r="118" spans="1:24" s="38" customFormat="1" ht="12" customHeight="1" x14ac:dyDescent="0.2">
      <c r="A118" s="47" t="s">
        <v>10</v>
      </c>
      <c r="B118" s="48" t="s">
        <v>17</v>
      </c>
      <c r="C118" s="48" t="s">
        <v>12</v>
      </c>
      <c r="D118" s="48" t="s">
        <v>19</v>
      </c>
      <c r="E118" s="49" t="s">
        <v>87</v>
      </c>
      <c r="F118" s="49" t="s">
        <v>11</v>
      </c>
      <c r="G118" s="49" t="s">
        <v>13</v>
      </c>
      <c r="H118" s="64" t="s">
        <v>14</v>
      </c>
      <c r="I118" s="50" t="s">
        <v>15</v>
      </c>
      <c r="J118" s="48" t="s">
        <v>89</v>
      </c>
      <c r="K118" s="6">
        <v>14500000</v>
      </c>
      <c r="L118" s="102"/>
      <c r="M118" s="102"/>
      <c r="N118" s="6"/>
      <c r="O118" s="6"/>
      <c r="P118" s="6"/>
      <c r="Q118" s="6">
        <f>K118-L118+M118-N118-O118+P118</f>
        <v>14500000</v>
      </c>
      <c r="R118" s="6">
        <v>14500000</v>
      </c>
      <c r="S118" s="6">
        <v>9987039</v>
      </c>
      <c r="T118" s="6">
        <v>9987039</v>
      </c>
      <c r="U118" s="6">
        <v>9987039</v>
      </c>
      <c r="V118" s="6">
        <v>9987039</v>
      </c>
      <c r="W118" s="89">
        <f t="shared" si="25"/>
        <v>0.68876131034482757</v>
      </c>
      <c r="X118" s="36"/>
    </row>
    <row r="119" spans="1:24" s="38" customFormat="1" ht="12" customHeight="1" x14ac:dyDescent="0.2">
      <c r="A119" s="47" t="s">
        <v>10</v>
      </c>
      <c r="B119" s="48" t="s">
        <v>17</v>
      </c>
      <c r="C119" s="48" t="s">
        <v>12</v>
      </c>
      <c r="D119" s="48" t="s">
        <v>19</v>
      </c>
      <c r="E119" s="49" t="s">
        <v>87</v>
      </c>
      <c r="F119" s="49" t="s">
        <v>17</v>
      </c>
      <c r="G119" s="49" t="s">
        <v>13</v>
      </c>
      <c r="H119" s="64" t="s">
        <v>14</v>
      </c>
      <c r="I119" s="50" t="s">
        <v>15</v>
      </c>
      <c r="J119" s="48" t="s">
        <v>90</v>
      </c>
      <c r="K119" s="6">
        <v>344100000</v>
      </c>
      <c r="L119" s="102">
        <f>25160000+1823842.05</f>
        <v>26983842.050000001</v>
      </c>
      <c r="M119" s="102">
        <v>8000000</v>
      </c>
      <c r="N119" s="6"/>
      <c r="O119" s="6"/>
      <c r="P119" s="6"/>
      <c r="Q119" s="6">
        <f>K119-L119+M119-N119-O119+P119</f>
        <v>325116157.94999999</v>
      </c>
      <c r="R119" s="6">
        <v>325116157.94999999</v>
      </c>
      <c r="S119" s="6">
        <v>234220825.5</v>
      </c>
      <c r="T119" s="6">
        <v>218397584.5</v>
      </c>
      <c r="U119" s="6">
        <v>218397584.5</v>
      </c>
      <c r="V119" s="6">
        <v>218319600.5</v>
      </c>
      <c r="W119" s="89">
        <f t="shared" si="25"/>
        <v>0.72042197772287009</v>
      </c>
      <c r="X119" s="36"/>
    </row>
    <row r="120" spans="1:24" s="38" customFormat="1" ht="12" customHeight="1" x14ac:dyDescent="0.2">
      <c r="A120" s="47" t="s">
        <v>10</v>
      </c>
      <c r="B120" s="48" t="s">
        <v>17</v>
      </c>
      <c r="C120" s="48" t="s">
        <v>12</v>
      </c>
      <c r="D120" s="48" t="s">
        <v>19</v>
      </c>
      <c r="E120" s="49" t="s">
        <v>87</v>
      </c>
      <c r="F120" s="49" t="s">
        <v>17</v>
      </c>
      <c r="G120" s="49" t="s">
        <v>124</v>
      </c>
      <c r="H120" s="64" t="s">
        <v>125</v>
      </c>
      <c r="I120" s="50" t="s">
        <v>15</v>
      </c>
      <c r="J120" s="48" t="s">
        <v>90</v>
      </c>
      <c r="K120" s="6"/>
      <c r="L120" s="102"/>
      <c r="M120" s="102">
        <v>7000000</v>
      </c>
      <c r="N120" s="6"/>
      <c r="O120" s="6"/>
      <c r="P120" s="6"/>
      <c r="Q120" s="6">
        <f>K120-L120+M120-N120-O120+P120</f>
        <v>7000000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89">
        <f t="shared" si="25"/>
        <v>0</v>
      </c>
      <c r="X120" s="36"/>
    </row>
    <row r="121" spans="1:24" s="38" customFormat="1" ht="12" customHeight="1" x14ac:dyDescent="0.2">
      <c r="A121" s="47" t="s">
        <v>10</v>
      </c>
      <c r="B121" s="43" t="s">
        <v>17</v>
      </c>
      <c r="C121" s="43" t="s">
        <v>12</v>
      </c>
      <c r="D121" s="43" t="s">
        <v>19</v>
      </c>
      <c r="E121" s="51">
        <v>14</v>
      </c>
      <c r="F121" s="49"/>
      <c r="G121" s="49"/>
      <c r="H121" s="64"/>
      <c r="I121" s="50"/>
      <c r="J121" s="43" t="s">
        <v>167</v>
      </c>
      <c r="K121" s="2">
        <v>1200000</v>
      </c>
      <c r="L121" s="102"/>
      <c r="M121" s="102"/>
      <c r="N121" s="6"/>
      <c r="O121" s="6"/>
      <c r="P121" s="6"/>
      <c r="Q121" s="2">
        <f>K121-L121+M121-N121-O121+P121</f>
        <v>1200000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90">
        <f t="shared" si="25"/>
        <v>0</v>
      </c>
      <c r="X121" s="36"/>
    </row>
    <row r="122" spans="1:24" s="35" customFormat="1" ht="27" x14ac:dyDescent="0.2">
      <c r="A122" s="42" t="s">
        <v>10</v>
      </c>
      <c r="B122" s="43" t="s">
        <v>17</v>
      </c>
      <c r="C122" s="43" t="s">
        <v>12</v>
      </c>
      <c r="D122" s="43" t="s">
        <v>19</v>
      </c>
      <c r="E122" s="51">
        <v>21</v>
      </c>
      <c r="F122" s="44"/>
      <c r="G122" s="44"/>
      <c r="H122" s="63"/>
      <c r="I122" s="45" t="s">
        <v>15</v>
      </c>
      <c r="J122" s="46" t="s">
        <v>117</v>
      </c>
      <c r="K122" s="2">
        <f t="shared" ref="K122:P122" si="38">SUM(K123:K125)</f>
        <v>274600000</v>
      </c>
      <c r="L122" s="103">
        <f>SUM(L123:L128)</f>
        <v>277475600</v>
      </c>
      <c r="M122" s="103">
        <f>SUM(M123:M128)</f>
        <v>350600000</v>
      </c>
      <c r="N122" s="2">
        <f>SUM(N123:N127)</f>
        <v>0</v>
      </c>
      <c r="O122" s="2">
        <f>SUM(O123:O127)</f>
        <v>0</v>
      </c>
      <c r="P122" s="2">
        <f t="shared" si="38"/>
        <v>0</v>
      </c>
      <c r="Q122" s="2">
        <f t="shared" ref="Q122:V122" si="39">SUM(Q123:Q128)</f>
        <v>347724400</v>
      </c>
      <c r="R122" s="2">
        <f t="shared" si="39"/>
        <v>274547400</v>
      </c>
      <c r="S122" s="2">
        <f t="shared" si="39"/>
        <v>36582771</v>
      </c>
      <c r="T122" s="2">
        <f t="shared" si="39"/>
        <v>25582771</v>
      </c>
      <c r="U122" s="2">
        <f t="shared" si="39"/>
        <v>25582771</v>
      </c>
      <c r="V122" s="2">
        <f t="shared" si="39"/>
        <v>24582769</v>
      </c>
      <c r="W122" s="90">
        <f>S122/Q122</f>
        <v>0.10520622366448831</v>
      </c>
      <c r="X122" s="36"/>
    </row>
    <row r="123" spans="1:24" s="38" customFormat="1" x14ac:dyDescent="0.2">
      <c r="A123" s="47" t="s">
        <v>10</v>
      </c>
      <c r="B123" s="48" t="s">
        <v>17</v>
      </c>
      <c r="C123" s="48" t="s">
        <v>12</v>
      </c>
      <c r="D123" s="48" t="s">
        <v>19</v>
      </c>
      <c r="E123" s="49" t="s">
        <v>91</v>
      </c>
      <c r="F123" s="49" t="s">
        <v>19</v>
      </c>
      <c r="G123" s="49" t="s">
        <v>13</v>
      </c>
      <c r="H123" s="64" t="s">
        <v>14</v>
      </c>
      <c r="I123" s="50" t="s">
        <v>15</v>
      </c>
      <c r="J123" s="48" t="s">
        <v>92</v>
      </c>
      <c r="K123" s="6">
        <v>184423000</v>
      </c>
      <c r="L123" s="102">
        <f>30000000+14823000+174600000</f>
        <v>219423000</v>
      </c>
      <c r="M123" s="102">
        <f>35000000+55000000</f>
        <v>90000000</v>
      </c>
      <c r="N123" s="6"/>
      <c r="O123" s="6"/>
      <c r="P123" s="6"/>
      <c r="Q123" s="6">
        <f t="shared" ref="Q123:Q128" si="40">K123-L123+M123-N123-O123+P123</f>
        <v>55000000</v>
      </c>
      <c r="R123" s="6">
        <v>55000000</v>
      </c>
      <c r="S123" s="6">
        <v>0</v>
      </c>
      <c r="T123" s="6">
        <v>0</v>
      </c>
      <c r="U123" s="6">
        <v>0</v>
      </c>
      <c r="V123" s="6">
        <v>0</v>
      </c>
      <c r="W123" s="89">
        <v>0</v>
      </c>
      <c r="X123" s="36"/>
    </row>
    <row r="124" spans="1:24" s="38" customFormat="1" x14ac:dyDescent="0.2">
      <c r="A124" s="47"/>
      <c r="B124" s="48" t="s">
        <v>17</v>
      </c>
      <c r="C124" s="48" t="s">
        <v>12</v>
      </c>
      <c r="D124" s="48" t="s">
        <v>19</v>
      </c>
      <c r="E124" s="49" t="s">
        <v>91</v>
      </c>
      <c r="F124" s="49" t="s">
        <v>19</v>
      </c>
      <c r="G124" s="49" t="s">
        <v>124</v>
      </c>
      <c r="H124" s="64" t="s">
        <v>125</v>
      </c>
      <c r="I124" s="50" t="s">
        <v>15</v>
      </c>
      <c r="J124" s="48" t="s">
        <v>92</v>
      </c>
      <c r="K124" s="6">
        <v>60177000</v>
      </c>
      <c r="L124" s="102"/>
      <c r="M124" s="102">
        <v>174600000</v>
      </c>
      <c r="N124" s="6"/>
      <c r="O124" s="6"/>
      <c r="P124" s="6"/>
      <c r="Q124" s="6">
        <f t="shared" si="40"/>
        <v>234777000</v>
      </c>
      <c r="R124" s="6">
        <v>174600000</v>
      </c>
      <c r="S124" s="6">
        <v>0</v>
      </c>
      <c r="T124" s="6">
        <v>0</v>
      </c>
      <c r="U124" s="6">
        <v>0</v>
      </c>
      <c r="V124" s="6">
        <v>0</v>
      </c>
      <c r="W124" s="89">
        <f t="shared" ref="W124:W152" si="41">S124/Q124</f>
        <v>0</v>
      </c>
      <c r="X124" s="36"/>
    </row>
    <row r="125" spans="1:24" s="38" customFormat="1" x14ac:dyDescent="0.2">
      <c r="A125" s="47" t="s">
        <v>10</v>
      </c>
      <c r="B125" s="48" t="s">
        <v>17</v>
      </c>
      <c r="C125" s="48" t="s">
        <v>12</v>
      </c>
      <c r="D125" s="48" t="s">
        <v>19</v>
      </c>
      <c r="E125" s="49" t="s">
        <v>91</v>
      </c>
      <c r="F125" s="49" t="s">
        <v>22</v>
      </c>
      <c r="G125" s="49" t="s">
        <v>13</v>
      </c>
      <c r="H125" s="64" t="s">
        <v>14</v>
      </c>
      <c r="I125" s="50" t="s">
        <v>15</v>
      </c>
      <c r="J125" s="48" t="s">
        <v>93</v>
      </c>
      <c r="K125" s="6">
        <v>30000000</v>
      </c>
      <c r="L125" s="102">
        <v>28052600</v>
      </c>
      <c r="M125" s="102"/>
      <c r="N125" s="6"/>
      <c r="O125" s="6"/>
      <c r="P125" s="6"/>
      <c r="Q125" s="6">
        <f t="shared" si="40"/>
        <v>1947400</v>
      </c>
      <c r="R125" s="6">
        <v>1947400</v>
      </c>
      <c r="S125" s="6">
        <v>547400</v>
      </c>
      <c r="T125" s="6">
        <v>547400</v>
      </c>
      <c r="U125" s="6">
        <v>547400</v>
      </c>
      <c r="V125" s="6">
        <v>547400</v>
      </c>
      <c r="W125" s="89">
        <f t="shared" si="41"/>
        <v>0.28109273903666426</v>
      </c>
      <c r="X125" s="36"/>
    </row>
    <row r="126" spans="1:24" s="38" customFormat="1" x14ac:dyDescent="0.2">
      <c r="A126" s="47" t="s">
        <v>10</v>
      </c>
      <c r="B126" s="48" t="s">
        <v>17</v>
      </c>
      <c r="C126" s="48" t="s">
        <v>12</v>
      </c>
      <c r="D126" s="48" t="s">
        <v>19</v>
      </c>
      <c r="E126" s="49" t="s">
        <v>91</v>
      </c>
      <c r="F126" s="49" t="s">
        <v>22</v>
      </c>
      <c r="G126" s="49" t="s">
        <v>124</v>
      </c>
      <c r="H126" s="64" t="s">
        <v>125</v>
      </c>
      <c r="I126" s="50" t="s">
        <v>15</v>
      </c>
      <c r="J126" s="48" t="s">
        <v>93</v>
      </c>
      <c r="K126" s="6"/>
      <c r="L126" s="102"/>
      <c r="M126" s="102">
        <v>26000000</v>
      </c>
      <c r="N126" s="6"/>
      <c r="O126" s="6"/>
      <c r="P126" s="6"/>
      <c r="Q126" s="6">
        <f t="shared" si="40"/>
        <v>26000000</v>
      </c>
      <c r="R126" s="6">
        <v>13000000</v>
      </c>
      <c r="S126" s="6">
        <v>11000000</v>
      </c>
      <c r="T126" s="6">
        <v>0</v>
      </c>
      <c r="U126" s="6">
        <v>0</v>
      </c>
      <c r="V126" s="6">
        <v>0</v>
      </c>
      <c r="W126" s="89">
        <f t="shared" si="41"/>
        <v>0.42307692307692307</v>
      </c>
      <c r="X126" s="36"/>
    </row>
    <row r="127" spans="1:24" s="38" customFormat="1" x14ac:dyDescent="0.2">
      <c r="A127" s="47" t="s">
        <v>10</v>
      </c>
      <c r="B127" s="48" t="s">
        <v>17</v>
      </c>
      <c r="C127" s="48" t="s">
        <v>12</v>
      </c>
      <c r="D127" s="48" t="s">
        <v>19</v>
      </c>
      <c r="E127" s="49" t="s">
        <v>91</v>
      </c>
      <c r="F127" s="96">
        <v>8</v>
      </c>
      <c r="G127" s="49" t="s">
        <v>13</v>
      </c>
      <c r="H127" s="64" t="s">
        <v>14</v>
      </c>
      <c r="I127" s="50" t="s">
        <v>15</v>
      </c>
      <c r="J127" s="48" t="s">
        <v>173</v>
      </c>
      <c r="K127" s="6"/>
      <c r="L127" s="102">
        <v>30000000</v>
      </c>
      <c r="M127" s="102">
        <v>30000000</v>
      </c>
      <c r="N127" s="6"/>
      <c r="O127" s="6"/>
      <c r="P127" s="6"/>
      <c r="Q127" s="6">
        <f t="shared" si="40"/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89">
        <v>0</v>
      </c>
      <c r="X127" s="36"/>
    </row>
    <row r="128" spans="1:24" s="38" customFormat="1" x14ac:dyDescent="0.2">
      <c r="A128" s="47" t="s">
        <v>10</v>
      </c>
      <c r="B128" s="48" t="s">
        <v>17</v>
      </c>
      <c r="C128" s="48" t="s">
        <v>12</v>
      </c>
      <c r="D128" s="48" t="s">
        <v>19</v>
      </c>
      <c r="E128" s="49" t="s">
        <v>91</v>
      </c>
      <c r="F128" s="96">
        <v>8</v>
      </c>
      <c r="G128" s="49" t="s">
        <v>124</v>
      </c>
      <c r="H128" s="64" t="s">
        <v>125</v>
      </c>
      <c r="I128" s="50" t="s">
        <v>15</v>
      </c>
      <c r="J128" s="48" t="s">
        <v>173</v>
      </c>
      <c r="K128" s="6"/>
      <c r="L128" s="102"/>
      <c r="M128" s="102">
        <v>30000000</v>
      </c>
      <c r="N128" s="6"/>
      <c r="O128" s="6"/>
      <c r="P128" s="6"/>
      <c r="Q128" s="6">
        <f t="shared" si="40"/>
        <v>30000000</v>
      </c>
      <c r="R128" s="6">
        <v>30000000</v>
      </c>
      <c r="S128" s="6">
        <v>25035371</v>
      </c>
      <c r="T128" s="6">
        <v>25035371</v>
      </c>
      <c r="U128" s="6">
        <v>25035371</v>
      </c>
      <c r="V128" s="6">
        <v>24035369</v>
      </c>
      <c r="W128" s="89">
        <f t="shared" si="41"/>
        <v>0.83451236666666662</v>
      </c>
      <c r="X128" s="36"/>
    </row>
    <row r="129" spans="1:24" s="38" customFormat="1" x14ac:dyDescent="0.2">
      <c r="A129" s="47" t="s">
        <v>10</v>
      </c>
      <c r="B129" s="43" t="s">
        <v>17</v>
      </c>
      <c r="C129" s="43" t="s">
        <v>12</v>
      </c>
      <c r="D129" s="43" t="s">
        <v>19</v>
      </c>
      <c r="E129" s="51">
        <v>22</v>
      </c>
      <c r="F129" s="44"/>
      <c r="G129" s="44"/>
      <c r="H129" s="63"/>
      <c r="I129" s="45" t="s">
        <v>15</v>
      </c>
      <c r="J129" s="43" t="s">
        <v>168</v>
      </c>
      <c r="K129" s="2">
        <f>K130</f>
        <v>9000000</v>
      </c>
      <c r="L129" s="102"/>
      <c r="M129" s="103">
        <f>M130</f>
        <v>1200000</v>
      </c>
      <c r="N129" s="6"/>
      <c r="O129" s="6"/>
      <c r="P129" s="6"/>
      <c r="Q129" s="2">
        <f t="shared" ref="Q129:V129" si="42">Q130</f>
        <v>10200000</v>
      </c>
      <c r="R129" s="2">
        <f t="shared" si="42"/>
        <v>10200000</v>
      </c>
      <c r="S129" s="2">
        <f t="shared" si="42"/>
        <v>4605013.95</v>
      </c>
      <c r="T129" s="2">
        <f t="shared" si="42"/>
        <v>3711548.07</v>
      </c>
      <c r="U129" s="2">
        <f t="shared" si="42"/>
        <v>3711548.07</v>
      </c>
      <c r="V129" s="2">
        <f t="shared" si="42"/>
        <v>3711548.07</v>
      </c>
      <c r="W129" s="90">
        <f t="shared" si="41"/>
        <v>0.45147195588235295</v>
      </c>
      <c r="X129" s="36"/>
    </row>
    <row r="130" spans="1:24" s="38" customFormat="1" x14ac:dyDescent="0.2">
      <c r="A130" s="47" t="s">
        <v>10</v>
      </c>
      <c r="B130" s="48" t="s">
        <v>17</v>
      </c>
      <c r="C130" s="48" t="s">
        <v>12</v>
      </c>
      <c r="D130" s="48" t="s">
        <v>19</v>
      </c>
      <c r="E130" s="54">
        <v>22</v>
      </c>
      <c r="F130" s="96">
        <v>1</v>
      </c>
      <c r="G130" s="49" t="s">
        <v>13</v>
      </c>
      <c r="H130" s="64" t="s">
        <v>14</v>
      </c>
      <c r="I130" s="50" t="s">
        <v>15</v>
      </c>
      <c r="J130" s="48" t="s">
        <v>168</v>
      </c>
      <c r="K130" s="6">
        <v>9000000</v>
      </c>
      <c r="L130" s="102"/>
      <c r="M130" s="102">
        <v>1200000</v>
      </c>
      <c r="N130" s="6"/>
      <c r="O130" s="6"/>
      <c r="P130" s="6"/>
      <c r="Q130" s="6">
        <f>K130-L130+M130-N130-O130+P130</f>
        <v>10200000</v>
      </c>
      <c r="R130" s="6">
        <v>10200000</v>
      </c>
      <c r="S130" s="6">
        <v>4605013.95</v>
      </c>
      <c r="T130" s="6">
        <v>3711548.07</v>
      </c>
      <c r="U130" s="6">
        <v>3711548.07</v>
      </c>
      <c r="V130" s="6">
        <v>3711548.07</v>
      </c>
      <c r="W130" s="89">
        <f t="shared" si="41"/>
        <v>0.45147195588235295</v>
      </c>
      <c r="X130" s="36"/>
    </row>
    <row r="131" spans="1:24" s="35" customFormat="1" ht="27" x14ac:dyDescent="0.2">
      <c r="A131" s="42" t="s">
        <v>10</v>
      </c>
      <c r="B131" s="43" t="s">
        <v>17</v>
      </c>
      <c r="C131" s="43" t="s">
        <v>12</v>
      </c>
      <c r="D131" s="43" t="s">
        <v>19</v>
      </c>
      <c r="E131" s="51">
        <v>41</v>
      </c>
      <c r="F131" s="44"/>
      <c r="G131" s="44"/>
      <c r="H131" s="63"/>
      <c r="I131" s="45" t="s">
        <v>15</v>
      </c>
      <c r="J131" s="46" t="s">
        <v>94</v>
      </c>
      <c r="K131" s="4">
        <f>SUM(K132:K133)</f>
        <v>2704280000</v>
      </c>
      <c r="L131" s="99">
        <f>SUM(L132:L133)</f>
        <v>31270801</v>
      </c>
      <c r="M131" s="99">
        <f>SUM(M132:M132)</f>
        <v>16241583</v>
      </c>
      <c r="N131" s="4">
        <f>SUM(N132:N132)</f>
        <v>0</v>
      </c>
      <c r="O131" s="4">
        <f>SUM(O132:O132)</f>
        <v>0</v>
      </c>
      <c r="P131" s="4">
        <f>SUM(P132:P132)</f>
        <v>0</v>
      </c>
      <c r="Q131" s="4">
        <f t="shared" ref="Q131:V131" si="43">SUM(Q132:Q133)</f>
        <v>2689250782</v>
      </c>
      <c r="R131" s="4">
        <f>SUM(R132:R133)</f>
        <v>2011580000</v>
      </c>
      <c r="S131" s="4">
        <f t="shared" si="43"/>
        <v>1983694323.73</v>
      </c>
      <c r="T131" s="4">
        <f t="shared" si="43"/>
        <v>1975195389.8</v>
      </c>
      <c r="U131" s="4">
        <f t="shared" si="43"/>
        <v>1936114089.8</v>
      </c>
      <c r="V131" s="4">
        <f t="shared" si="43"/>
        <v>1936114089.8</v>
      </c>
      <c r="W131" s="90">
        <f t="shared" si="41"/>
        <v>0.73763828089499461</v>
      </c>
      <c r="X131" s="36"/>
    </row>
    <row r="132" spans="1:24" s="38" customFormat="1" x14ac:dyDescent="0.2">
      <c r="A132" s="47" t="s">
        <v>10</v>
      </c>
      <c r="B132" s="48" t="s">
        <v>17</v>
      </c>
      <c r="C132" s="48" t="s">
        <v>12</v>
      </c>
      <c r="D132" s="48" t="s">
        <v>19</v>
      </c>
      <c r="E132" s="54">
        <v>41</v>
      </c>
      <c r="F132" s="54">
        <v>13</v>
      </c>
      <c r="G132" s="49" t="s">
        <v>13</v>
      </c>
      <c r="H132" s="64" t="s">
        <v>14</v>
      </c>
      <c r="I132" s="50" t="s">
        <v>15</v>
      </c>
      <c r="J132" s="48" t="s">
        <v>94</v>
      </c>
      <c r="K132" s="6">
        <v>1505000000</v>
      </c>
      <c r="L132" s="102">
        <f>8000000+4080000+15110801</f>
        <v>27190801</v>
      </c>
      <c r="M132" s="102">
        <f>4080000+2500000+9661583</f>
        <v>16241583</v>
      </c>
      <c r="N132" s="6"/>
      <c r="O132" s="6"/>
      <c r="P132" s="6"/>
      <c r="Q132" s="6">
        <f>K132-L132+M132-N132-O132+P132</f>
        <v>1494050782</v>
      </c>
      <c r="R132" s="6">
        <v>1488469199</v>
      </c>
      <c r="S132" s="6">
        <v>1467730424.73</v>
      </c>
      <c r="T132" s="6">
        <v>1461612464.73</v>
      </c>
      <c r="U132" s="6">
        <v>1461612464.73</v>
      </c>
      <c r="V132" s="6">
        <v>1461612464.73</v>
      </c>
      <c r="W132" s="89">
        <f t="shared" si="41"/>
        <v>0.98238322446124193</v>
      </c>
      <c r="X132" s="36"/>
    </row>
    <row r="133" spans="1:24" s="38" customFormat="1" x14ac:dyDescent="0.2">
      <c r="A133" s="47" t="s">
        <v>10</v>
      </c>
      <c r="B133" s="48" t="s">
        <v>17</v>
      </c>
      <c r="C133" s="48" t="s">
        <v>12</v>
      </c>
      <c r="D133" s="48" t="s">
        <v>19</v>
      </c>
      <c r="E133" s="54">
        <v>41</v>
      </c>
      <c r="F133" s="54">
        <v>13</v>
      </c>
      <c r="G133" s="49" t="s">
        <v>124</v>
      </c>
      <c r="H133" s="64" t="s">
        <v>125</v>
      </c>
      <c r="I133" s="50" t="s">
        <v>15</v>
      </c>
      <c r="J133" s="48" t="s">
        <v>94</v>
      </c>
      <c r="K133" s="6">
        <v>1199280000</v>
      </c>
      <c r="L133" s="102">
        <v>4080000</v>
      </c>
      <c r="M133" s="102"/>
      <c r="N133" s="6"/>
      <c r="O133" s="6"/>
      <c r="P133" s="6"/>
      <c r="Q133" s="6">
        <f>K133-L133+M133-N133-O133+P133</f>
        <v>1195200000</v>
      </c>
      <c r="R133" s="6">
        <v>523110801</v>
      </c>
      <c r="S133" s="6">
        <v>515963899</v>
      </c>
      <c r="T133" s="6">
        <v>513582925.06999999</v>
      </c>
      <c r="U133" s="6">
        <v>474501625.06999999</v>
      </c>
      <c r="V133" s="6">
        <v>474501625.06999999</v>
      </c>
      <c r="W133" s="89">
        <f t="shared" si="41"/>
        <v>0.43169670264390897</v>
      </c>
      <c r="X133" s="36"/>
    </row>
    <row r="134" spans="1:24" s="35" customFormat="1" x14ac:dyDescent="0.2">
      <c r="A134" s="42" t="s">
        <v>10</v>
      </c>
      <c r="B134" s="43" t="s">
        <v>46</v>
      </c>
      <c r="C134" s="43"/>
      <c r="D134" s="43"/>
      <c r="E134" s="51"/>
      <c r="F134" s="44"/>
      <c r="G134" s="44"/>
      <c r="H134" s="63"/>
      <c r="I134" s="45"/>
      <c r="J134" s="46" t="s">
        <v>142</v>
      </c>
      <c r="K134" s="4">
        <f>K135+K138+K141</f>
        <v>599987000</v>
      </c>
      <c r="L134" s="99">
        <f t="shared" ref="L134:V134" si="44">L135+L138+L141</f>
        <v>0</v>
      </c>
      <c r="M134" s="99">
        <f t="shared" si="44"/>
        <v>0</v>
      </c>
      <c r="N134" s="4">
        <f t="shared" si="44"/>
        <v>0</v>
      </c>
      <c r="O134" s="4">
        <f t="shared" si="44"/>
        <v>0</v>
      </c>
      <c r="P134" s="4">
        <f t="shared" si="44"/>
        <v>0</v>
      </c>
      <c r="Q134" s="4">
        <f t="shared" si="44"/>
        <v>599987000</v>
      </c>
      <c r="R134" s="4">
        <f t="shared" si="44"/>
        <v>27140000</v>
      </c>
      <c r="S134" s="4">
        <f t="shared" si="44"/>
        <v>0</v>
      </c>
      <c r="T134" s="4">
        <f t="shared" si="44"/>
        <v>0</v>
      </c>
      <c r="U134" s="4">
        <f t="shared" si="44"/>
        <v>0</v>
      </c>
      <c r="V134" s="4">
        <f t="shared" si="44"/>
        <v>0</v>
      </c>
      <c r="W134" s="90">
        <f t="shared" si="41"/>
        <v>0</v>
      </c>
      <c r="X134" s="36"/>
    </row>
    <row r="135" spans="1:24" s="35" customFormat="1" ht="18" x14ac:dyDescent="0.2">
      <c r="A135" s="42" t="s">
        <v>10</v>
      </c>
      <c r="B135" s="43">
        <v>3</v>
      </c>
      <c r="C135" s="43">
        <v>2</v>
      </c>
      <c r="D135" s="43"/>
      <c r="E135" s="51"/>
      <c r="F135" s="44"/>
      <c r="G135" s="44"/>
      <c r="H135" s="63"/>
      <c r="I135" s="45"/>
      <c r="J135" s="46" t="s">
        <v>143</v>
      </c>
      <c r="K135" s="4">
        <f>K136</f>
        <v>106197000</v>
      </c>
      <c r="L135" s="99">
        <f t="shared" ref="L135:V135" si="45">L136</f>
        <v>0</v>
      </c>
      <c r="M135" s="99">
        <f t="shared" si="45"/>
        <v>0</v>
      </c>
      <c r="N135" s="4">
        <f t="shared" si="45"/>
        <v>0</v>
      </c>
      <c r="O135" s="4">
        <f t="shared" si="45"/>
        <v>0</v>
      </c>
      <c r="P135" s="4">
        <f t="shared" si="45"/>
        <v>0</v>
      </c>
      <c r="Q135" s="4">
        <f t="shared" si="45"/>
        <v>106197000</v>
      </c>
      <c r="R135" s="4">
        <f t="shared" si="45"/>
        <v>0</v>
      </c>
      <c r="S135" s="4">
        <f t="shared" si="45"/>
        <v>0</v>
      </c>
      <c r="T135" s="4">
        <f t="shared" si="45"/>
        <v>0</v>
      </c>
      <c r="U135" s="4">
        <f t="shared" si="45"/>
        <v>0</v>
      </c>
      <c r="V135" s="4">
        <f t="shared" si="45"/>
        <v>0</v>
      </c>
      <c r="W135" s="90">
        <f t="shared" si="41"/>
        <v>0</v>
      </c>
      <c r="X135" s="36"/>
    </row>
    <row r="136" spans="1:24" s="35" customFormat="1" x14ac:dyDescent="0.2">
      <c r="A136" s="42" t="s">
        <v>10</v>
      </c>
      <c r="B136" s="43">
        <v>3</v>
      </c>
      <c r="C136" s="43">
        <v>2</v>
      </c>
      <c r="D136" s="43">
        <v>1</v>
      </c>
      <c r="E136" s="51"/>
      <c r="F136" s="44"/>
      <c r="G136" s="44"/>
      <c r="H136" s="63"/>
      <c r="I136" s="45" t="s">
        <v>118</v>
      </c>
      <c r="J136" s="46" t="s">
        <v>144</v>
      </c>
      <c r="K136" s="4">
        <f>SUM(K137)</f>
        <v>106197000</v>
      </c>
      <c r="L136" s="99">
        <f t="shared" ref="L136:V136" si="46">SUM(L137)</f>
        <v>0</v>
      </c>
      <c r="M136" s="99">
        <f t="shared" si="46"/>
        <v>0</v>
      </c>
      <c r="N136" s="4">
        <f t="shared" si="46"/>
        <v>0</v>
      </c>
      <c r="O136" s="4">
        <f t="shared" si="46"/>
        <v>0</v>
      </c>
      <c r="P136" s="4">
        <f t="shared" si="46"/>
        <v>0</v>
      </c>
      <c r="Q136" s="4">
        <f t="shared" si="46"/>
        <v>106197000</v>
      </c>
      <c r="R136" s="4">
        <f t="shared" si="46"/>
        <v>0</v>
      </c>
      <c r="S136" s="4">
        <f t="shared" si="46"/>
        <v>0</v>
      </c>
      <c r="T136" s="4">
        <f t="shared" si="46"/>
        <v>0</v>
      </c>
      <c r="U136" s="4">
        <f t="shared" si="46"/>
        <v>0</v>
      </c>
      <c r="V136" s="4">
        <f t="shared" si="46"/>
        <v>0</v>
      </c>
      <c r="W136" s="90">
        <f t="shared" si="41"/>
        <v>0</v>
      </c>
      <c r="X136" s="36"/>
    </row>
    <row r="137" spans="1:24" s="38" customFormat="1" ht="12" customHeight="1" x14ac:dyDescent="0.2">
      <c r="A137" s="47" t="s">
        <v>10</v>
      </c>
      <c r="B137" s="48" t="s">
        <v>46</v>
      </c>
      <c r="C137" s="48" t="s">
        <v>17</v>
      </c>
      <c r="D137" s="48" t="s">
        <v>11</v>
      </c>
      <c r="E137" s="49" t="s">
        <v>11</v>
      </c>
      <c r="F137" s="49"/>
      <c r="G137" s="49" t="s">
        <v>13</v>
      </c>
      <c r="H137" s="64" t="s">
        <v>87</v>
      </c>
      <c r="I137" s="50" t="s">
        <v>118</v>
      </c>
      <c r="J137" s="48" t="s">
        <v>119</v>
      </c>
      <c r="K137" s="6">
        <v>106197000</v>
      </c>
      <c r="L137" s="102"/>
      <c r="M137" s="102"/>
      <c r="N137" s="6"/>
      <c r="O137" s="6"/>
      <c r="P137" s="6"/>
      <c r="Q137" s="6">
        <f>K137-L137+M137-N137-O137+P137</f>
        <v>106197000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89">
        <f t="shared" si="41"/>
        <v>0</v>
      </c>
      <c r="X137" s="36"/>
    </row>
    <row r="138" spans="1:24" s="35" customFormat="1" ht="12" customHeight="1" x14ac:dyDescent="0.2">
      <c r="A138" s="42" t="s">
        <v>10</v>
      </c>
      <c r="B138" s="43">
        <v>3</v>
      </c>
      <c r="C138" s="43">
        <v>4</v>
      </c>
      <c r="D138" s="43"/>
      <c r="E138" s="44"/>
      <c r="F138" s="44"/>
      <c r="G138" s="44"/>
      <c r="H138" s="63"/>
      <c r="I138" s="45"/>
      <c r="J138" s="43" t="s">
        <v>145</v>
      </c>
      <c r="K138" s="2">
        <f>K139</f>
        <v>27140000</v>
      </c>
      <c r="L138" s="103">
        <f t="shared" ref="L138:V138" si="47">L139</f>
        <v>0</v>
      </c>
      <c r="M138" s="103">
        <f t="shared" si="47"/>
        <v>0</v>
      </c>
      <c r="N138" s="2">
        <f t="shared" si="47"/>
        <v>0</v>
      </c>
      <c r="O138" s="2">
        <f t="shared" si="47"/>
        <v>0</v>
      </c>
      <c r="P138" s="2">
        <f t="shared" si="47"/>
        <v>0</v>
      </c>
      <c r="Q138" s="2">
        <f t="shared" si="47"/>
        <v>27140000</v>
      </c>
      <c r="R138" s="2">
        <f t="shared" si="47"/>
        <v>27140000</v>
      </c>
      <c r="S138" s="2">
        <f t="shared" si="47"/>
        <v>0</v>
      </c>
      <c r="T138" s="2">
        <f t="shared" si="47"/>
        <v>0</v>
      </c>
      <c r="U138" s="2">
        <f t="shared" si="47"/>
        <v>0</v>
      </c>
      <c r="V138" s="2">
        <f t="shared" si="47"/>
        <v>0</v>
      </c>
      <c r="W138" s="90">
        <f t="shared" si="41"/>
        <v>0</v>
      </c>
      <c r="X138" s="36"/>
    </row>
    <row r="139" spans="1:24" s="35" customFormat="1" ht="12" customHeight="1" x14ac:dyDescent="0.2">
      <c r="A139" s="42" t="s">
        <v>10</v>
      </c>
      <c r="B139" s="43">
        <v>3</v>
      </c>
      <c r="C139" s="43">
        <v>4</v>
      </c>
      <c r="D139" s="43">
        <v>1</v>
      </c>
      <c r="E139" s="44"/>
      <c r="F139" s="44"/>
      <c r="G139" s="44"/>
      <c r="H139" s="63"/>
      <c r="I139" s="45" t="s">
        <v>15</v>
      </c>
      <c r="J139" s="43" t="s">
        <v>146</v>
      </c>
      <c r="K139" s="2">
        <f>SUM(K140)</f>
        <v>27140000</v>
      </c>
      <c r="L139" s="103">
        <f t="shared" ref="L139:V139" si="48">SUM(L140)</f>
        <v>0</v>
      </c>
      <c r="M139" s="103">
        <f t="shared" si="48"/>
        <v>0</v>
      </c>
      <c r="N139" s="2">
        <f t="shared" si="48"/>
        <v>0</v>
      </c>
      <c r="O139" s="2">
        <f t="shared" si="48"/>
        <v>0</v>
      </c>
      <c r="P139" s="2">
        <f t="shared" si="48"/>
        <v>0</v>
      </c>
      <c r="Q139" s="2">
        <f>SUM(Q140)</f>
        <v>27140000</v>
      </c>
      <c r="R139" s="2">
        <f t="shared" si="48"/>
        <v>27140000</v>
      </c>
      <c r="S139" s="2">
        <f t="shared" si="48"/>
        <v>0</v>
      </c>
      <c r="T139" s="2">
        <f t="shared" si="48"/>
        <v>0</v>
      </c>
      <c r="U139" s="2">
        <f t="shared" si="48"/>
        <v>0</v>
      </c>
      <c r="V139" s="2">
        <f t="shared" si="48"/>
        <v>0</v>
      </c>
      <c r="W139" s="90">
        <f t="shared" si="41"/>
        <v>0</v>
      </c>
      <c r="X139" s="36"/>
    </row>
    <row r="140" spans="1:24" s="38" customFormat="1" ht="45" x14ac:dyDescent="0.2">
      <c r="A140" s="47" t="s">
        <v>10</v>
      </c>
      <c r="B140" s="48" t="s">
        <v>46</v>
      </c>
      <c r="C140" s="48" t="s">
        <v>19</v>
      </c>
      <c r="D140" s="48" t="s">
        <v>11</v>
      </c>
      <c r="E140" s="49" t="s">
        <v>120</v>
      </c>
      <c r="F140" s="49"/>
      <c r="G140" s="49" t="s">
        <v>13</v>
      </c>
      <c r="H140" s="64" t="s">
        <v>14</v>
      </c>
      <c r="I140" s="50" t="s">
        <v>15</v>
      </c>
      <c r="J140" s="52" t="s">
        <v>121</v>
      </c>
      <c r="K140" s="6">
        <v>27140000</v>
      </c>
      <c r="L140" s="102"/>
      <c r="M140" s="102"/>
      <c r="N140" s="6"/>
      <c r="O140" s="6"/>
      <c r="P140" s="6"/>
      <c r="Q140" s="6">
        <f>K140-L140+M140-N140-O140+P140</f>
        <v>27140000</v>
      </c>
      <c r="R140" s="6">
        <v>27140000</v>
      </c>
      <c r="S140" s="6">
        <v>0</v>
      </c>
      <c r="T140" s="6">
        <v>0</v>
      </c>
      <c r="U140" s="6">
        <v>0</v>
      </c>
      <c r="V140" s="6">
        <v>0</v>
      </c>
      <c r="W140" s="89">
        <f t="shared" si="41"/>
        <v>0</v>
      </c>
      <c r="X140" s="36"/>
    </row>
    <row r="141" spans="1:24" s="35" customFormat="1" ht="18" x14ac:dyDescent="0.2">
      <c r="A141" s="42" t="s">
        <v>10</v>
      </c>
      <c r="B141" s="43" t="s">
        <v>46</v>
      </c>
      <c r="C141" s="43" t="s">
        <v>55</v>
      </c>
      <c r="D141" s="43"/>
      <c r="E141" s="44"/>
      <c r="F141" s="44"/>
      <c r="G141" s="44"/>
      <c r="H141" s="63"/>
      <c r="I141" s="45"/>
      <c r="J141" s="46" t="s">
        <v>147</v>
      </c>
      <c r="K141" s="2">
        <f>K142</f>
        <v>466650000</v>
      </c>
      <c r="L141" s="2">
        <f t="shared" ref="L141:V141" si="49">L142</f>
        <v>0</v>
      </c>
      <c r="M141" s="2">
        <f t="shared" si="49"/>
        <v>0</v>
      </c>
      <c r="N141" s="2">
        <f t="shared" si="49"/>
        <v>0</v>
      </c>
      <c r="O141" s="2">
        <f t="shared" si="49"/>
        <v>0</v>
      </c>
      <c r="P141" s="2">
        <f t="shared" si="49"/>
        <v>0</v>
      </c>
      <c r="Q141" s="2">
        <f t="shared" si="49"/>
        <v>466650000</v>
      </c>
      <c r="R141" s="2">
        <f t="shared" si="49"/>
        <v>0</v>
      </c>
      <c r="S141" s="2">
        <f t="shared" si="49"/>
        <v>0</v>
      </c>
      <c r="T141" s="2">
        <f t="shared" si="49"/>
        <v>0</v>
      </c>
      <c r="U141" s="2">
        <f t="shared" si="49"/>
        <v>0</v>
      </c>
      <c r="V141" s="2">
        <f t="shared" si="49"/>
        <v>0</v>
      </c>
      <c r="W141" s="90">
        <f t="shared" si="41"/>
        <v>0</v>
      </c>
      <c r="X141" s="36"/>
    </row>
    <row r="142" spans="1:24" s="35" customFormat="1" ht="18" x14ac:dyDescent="0.2">
      <c r="A142" s="42" t="s">
        <v>10</v>
      </c>
      <c r="B142" s="43" t="s">
        <v>46</v>
      </c>
      <c r="C142" s="43" t="s">
        <v>55</v>
      </c>
      <c r="D142" s="43">
        <v>1</v>
      </c>
      <c r="E142" s="44"/>
      <c r="F142" s="44"/>
      <c r="G142" s="44"/>
      <c r="H142" s="63"/>
      <c r="I142" s="45" t="s">
        <v>15</v>
      </c>
      <c r="J142" s="46" t="s">
        <v>122</v>
      </c>
      <c r="K142" s="2">
        <f>SUM(K143:K144)</f>
        <v>466650000</v>
      </c>
      <c r="L142" s="2">
        <f>SUM(L144)</f>
        <v>0</v>
      </c>
      <c r="M142" s="2">
        <f>SUM(M144)</f>
        <v>0</v>
      </c>
      <c r="N142" s="2">
        <f>SUM(N144)</f>
        <v>0</v>
      </c>
      <c r="O142" s="2">
        <f>SUM(O144)</f>
        <v>0</v>
      </c>
      <c r="P142" s="2">
        <f>SUM(P144)</f>
        <v>0</v>
      </c>
      <c r="Q142" s="2">
        <f t="shared" ref="Q142:V142" si="50">SUM(Q143:Q144)</f>
        <v>466650000</v>
      </c>
      <c r="R142" s="2">
        <f t="shared" si="50"/>
        <v>0</v>
      </c>
      <c r="S142" s="2">
        <f t="shared" si="50"/>
        <v>0</v>
      </c>
      <c r="T142" s="2">
        <f t="shared" si="50"/>
        <v>0</v>
      </c>
      <c r="U142" s="2">
        <f t="shared" si="50"/>
        <v>0</v>
      </c>
      <c r="V142" s="2">
        <f t="shared" si="50"/>
        <v>0</v>
      </c>
      <c r="W142" s="90">
        <f t="shared" si="41"/>
        <v>0</v>
      </c>
      <c r="X142" s="36"/>
    </row>
    <row r="143" spans="1:24" s="35" customFormat="1" x14ac:dyDescent="0.2">
      <c r="A143" s="42"/>
      <c r="B143" s="48" t="s">
        <v>46</v>
      </c>
      <c r="C143" s="48" t="s">
        <v>55</v>
      </c>
      <c r="D143" s="48" t="s">
        <v>11</v>
      </c>
      <c r="E143" s="49" t="s">
        <v>11</v>
      </c>
      <c r="F143" s="54">
        <v>1</v>
      </c>
      <c r="G143" s="49" t="s">
        <v>124</v>
      </c>
      <c r="H143" s="64" t="s">
        <v>125</v>
      </c>
      <c r="I143" s="50" t="s">
        <v>15</v>
      </c>
      <c r="J143" s="52" t="s">
        <v>169</v>
      </c>
      <c r="K143" s="6">
        <v>50000000</v>
      </c>
      <c r="L143" s="2"/>
      <c r="M143" s="2"/>
      <c r="N143" s="2"/>
      <c r="O143" s="2"/>
      <c r="P143" s="2"/>
      <c r="Q143" s="6">
        <f>K143-L143+M143-N143-O143+P143</f>
        <v>50000000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90">
        <f t="shared" si="41"/>
        <v>0</v>
      </c>
      <c r="X143" s="36"/>
    </row>
    <row r="144" spans="1:24" s="38" customFormat="1" ht="12" customHeight="1" thickBot="1" x14ac:dyDescent="0.25">
      <c r="A144" s="47" t="s">
        <v>10</v>
      </c>
      <c r="B144" s="48" t="s">
        <v>46</v>
      </c>
      <c r="C144" s="48" t="s">
        <v>55</v>
      </c>
      <c r="D144" s="48" t="s">
        <v>11</v>
      </c>
      <c r="E144" s="49" t="s">
        <v>11</v>
      </c>
      <c r="F144" s="54">
        <v>2</v>
      </c>
      <c r="G144" s="49" t="s">
        <v>124</v>
      </c>
      <c r="H144" s="64" t="s">
        <v>125</v>
      </c>
      <c r="I144" s="50" t="s">
        <v>15</v>
      </c>
      <c r="J144" s="48" t="s">
        <v>170</v>
      </c>
      <c r="K144" s="6">
        <v>416650000</v>
      </c>
      <c r="L144" s="6"/>
      <c r="M144" s="6"/>
      <c r="N144" s="6"/>
      <c r="O144" s="6"/>
      <c r="P144" s="6"/>
      <c r="Q144" s="6">
        <f>K144-L144+M144-N144-O144+P144</f>
        <v>416650000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105">
        <f t="shared" si="41"/>
        <v>0</v>
      </c>
      <c r="X144" s="36"/>
    </row>
    <row r="145" spans="1:24" s="35" customFormat="1" ht="13.5" thickTop="1" x14ac:dyDescent="0.2">
      <c r="A145" s="39" t="s">
        <v>123</v>
      </c>
      <c r="B145" s="40"/>
      <c r="C145" s="40"/>
      <c r="D145" s="40"/>
      <c r="E145" s="40"/>
      <c r="F145" s="40"/>
      <c r="G145" s="40"/>
      <c r="H145" s="62"/>
      <c r="I145" s="41"/>
      <c r="J145" s="40" t="s">
        <v>132</v>
      </c>
      <c r="K145" s="5">
        <f>K146+K148</f>
        <v>27014305057</v>
      </c>
      <c r="L145" s="5">
        <f t="shared" ref="L145:V145" si="51">L146+L148</f>
        <v>0</v>
      </c>
      <c r="M145" s="5">
        <f t="shared" si="51"/>
        <v>0</v>
      </c>
      <c r="N145" s="5">
        <f t="shared" si="51"/>
        <v>0</v>
      </c>
      <c r="O145" s="5">
        <f t="shared" si="51"/>
        <v>0</v>
      </c>
      <c r="P145" s="5">
        <f t="shared" si="51"/>
        <v>0</v>
      </c>
      <c r="Q145" s="5">
        <f t="shared" si="51"/>
        <v>30531805057</v>
      </c>
      <c r="R145" s="5">
        <f t="shared" si="51"/>
        <v>28732732469</v>
      </c>
      <c r="S145" s="5">
        <f t="shared" si="51"/>
        <v>21899277432.5</v>
      </c>
      <c r="T145" s="5">
        <f t="shared" si="51"/>
        <v>7876003711.5</v>
      </c>
      <c r="U145" s="5">
        <f t="shared" si="51"/>
        <v>7873771207.5</v>
      </c>
      <c r="V145" s="5">
        <f t="shared" si="51"/>
        <v>7353929548.5</v>
      </c>
      <c r="W145" s="104">
        <f t="shared" si="41"/>
        <v>0.71726114429252097</v>
      </c>
      <c r="X145" s="36"/>
    </row>
    <row r="146" spans="1:24" s="35" customFormat="1" x14ac:dyDescent="0.2">
      <c r="A146" s="42" t="s">
        <v>123</v>
      </c>
      <c r="B146" s="43"/>
      <c r="C146" s="43"/>
      <c r="D146" s="43"/>
      <c r="E146" s="44"/>
      <c r="F146" s="44"/>
      <c r="G146" s="44"/>
      <c r="H146" s="63"/>
      <c r="I146" s="45"/>
      <c r="J146" s="43" t="s">
        <v>133</v>
      </c>
      <c r="K146" s="4">
        <f>SUM(K147:K147)</f>
        <v>20704079057</v>
      </c>
      <c r="L146" s="4">
        <f t="shared" ref="L146:V146" si="52">SUM(L147:L147)</f>
        <v>0</v>
      </c>
      <c r="M146" s="4">
        <f t="shared" si="52"/>
        <v>0</v>
      </c>
      <c r="N146" s="4">
        <f t="shared" si="52"/>
        <v>0</v>
      </c>
      <c r="O146" s="4">
        <f t="shared" si="52"/>
        <v>0</v>
      </c>
      <c r="P146" s="4">
        <f t="shared" si="52"/>
        <v>0</v>
      </c>
      <c r="Q146" s="4">
        <f t="shared" si="52"/>
        <v>20704079057</v>
      </c>
      <c r="R146" s="4">
        <f>SUM(R147:R147)</f>
        <v>19920828916</v>
      </c>
      <c r="S146" s="4">
        <f t="shared" si="52"/>
        <v>16642661132</v>
      </c>
      <c r="T146" s="4">
        <f t="shared" si="52"/>
        <v>6100064493</v>
      </c>
      <c r="U146" s="4">
        <f t="shared" si="52"/>
        <v>6097831989</v>
      </c>
      <c r="V146" s="4">
        <f t="shared" si="52"/>
        <v>5657782627</v>
      </c>
      <c r="W146" s="89">
        <f t="shared" si="41"/>
        <v>0.80383489099811734</v>
      </c>
      <c r="X146" s="36"/>
    </row>
    <row r="147" spans="1:24" s="38" customFormat="1" ht="33" x14ac:dyDescent="0.2">
      <c r="A147" s="47" t="s">
        <v>123</v>
      </c>
      <c r="B147" s="48">
        <v>3204</v>
      </c>
      <c r="C147" s="100" t="s">
        <v>171</v>
      </c>
      <c r="D147" s="48">
        <v>1</v>
      </c>
      <c r="E147" s="49"/>
      <c r="F147" s="49"/>
      <c r="G147" s="49" t="s">
        <v>13</v>
      </c>
      <c r="H147" s="64" t="s">
        <v>87</v>
      </c>
      <c r="I147" s="50" t="s">
        <v>15</v>
      </c>
      <c r="J147" s="53" t="s">
        <v>158</v>
      </c>
      <c r="K147" s="6">
        <v>20704079057</v>
      </c>
      <c r="L147" s="6"/>
      <c r="M147" s="6"/>
      <c r="N147" s="6"/>
      <c r="O147" s="6"/>
      <c r="P147" s="6"/>
      <c r="Q147" s="6">
        <f>K147-L147+M147-N147-O147+P147</f>
        <v>20704079057</v>
      </c>
      <c r="R147" s="6">
        <v>19920828916</v>
      </c>
      <c r="S147" s="6">
        <v>16642661132</v>
      </c>
      <c r="T147" s="6">
        <v>6100064493</v>
      </c>
      <c r="U147" s="6">
        <v>6097831989</v>
      </c>
      <c r="V147" s="6">
        <v>5657782627</v>
      </c>
      <c r="W147" s="89">
        <f t="shared" si="41"/>
        <v>0.80383489099811734</v>
      </c>
      <c r="X147" s="36"/>
    </row>
    <row r="148" spans="1:24" s="35" customFormat="1" x14ac:dyDescent="0.2">
      <c r="A148" s="42" t="s">
        <v>123</v>
      </c>
      <c r="B148" s="43"/>
      <c r="C148" s="43"/>
      <c r="D148" s="43"/>
      <c r="E148" s="44"/>
      <c r="F148" s="44"/>
      <c r="G148" s="44"/>
      <c r="H148" s="63"/>
      <c r="I148" s="45"/>
      <c r="J148" s="43" t="s">
        <v>134</v>
      </c>
      <c r="K148" s="2">
        <f>SUM(K149:K151)</f>
        <v>6310226000</v>
      </c>
      <c r="L148" s="2">
        <f>SUM(L150:L150)</f>
        <v>0</v>
      </c>
      <c r="M148" s="2">
        <f>SUM(M150:M150)</f>
        <v>0</v>
      </c>
      <c r="N148" s="2">
        <f>SUM(N150:N150)</f>
        <v>0</v>
      </c>
      <c r="O148" s="2">
        <f>SUM(O150:O150)</f>
        <v>0</v>
      </c>
      <c r="P148" s="2">
        <f>SUM(P150:P150)</f>
        <v>0</v>
      </c>
      <c r="Q148" s="2">
        <f t="shared" ref="Q148:V148" si="53">SUM(Q149:Q151)</f>
        <v>9827726000</v>
      </c>
      <c r="R148" s="2">
        <f>SUM(R149:R151)</f>
        <v>8811903553</v>
      </c>
      <c r="S148" s="2">
        <f t="shared" si="53"/>
        <v>5256616300.5</v>
      </c>
      <c r="T148" s="2">
        <f t="shared" si="53"/>
        <v>1775939218.5</v>
      </c>
      <c r="U148" s="2">
        <f t="shared" si="53"/>
        <v>1775939218.5</v>
      </c>
      <c r="V148" s="2">
        <f t="shared" si="53"/>
        <v>1696146921.5</v>
      </c>
      <c r="W148" s="90">
        <f t="shared" si="41"/>
        <v>0.53487615553180867</v>
      </c>
      <c r="X148" s="36"/>
    </row>
    <row r="149" spans="1:24" s="35" customFormat="1" ht="33" x14ac:dyDescent="0.2">
      <c r="A149" s="47" t="s">
        <v>123</v>
      </c>
      <c r="B149" s="48">
        <v>3204</v>
      </c>
      <c r="C149" s="48" t="s">
        <v>171</v>
      </c>
      <c r="D149" s="48">
        <v>1</v>
      </c>
      <c r="E149" s="49"/>
      <c r="F149" s="49"/>
      <c r="G149" s="49" t="s">
        <v>124</v>
      </c>
      <c r="H149" s="64" t="s">
        <v>125</v>
      </c>
      <c r="I149" s="50" t="s">
        <v>15</v>
      </c>
      <c r="J149" s="53" t="s">
        <v>158</v>
      </c>
      <c r="K149" s="6">
        <v>3574609000</v>
      </c>
      <c r="L149" s="2"/>
      <c r="M149" s="2"/>
      <c r="N149" s="2"/>
      <c r="O149" s="2"/>
      <c r="P149" s="2"/>
      <c r="Q149" s="6">
        <f>K149-L149+M149-N149-O149+P149</f>
        <v>3574609000</v>
      </c>
      <c r="R149" s="6">
        <v>3170569462</v>
      </c>
      <c r="S149" s="6">
        <v>2873582310.5</v>
      </c>
      <c r="T149" s="6">
        <v>931100788.5</v>
      </c>
      <c r="U149" s="6">
        <v>931100788.5</v>
      </c>
      <c r="V149" s="6">
        <v>931100788.5</v>
      </c>
      <c r="W149" s="91">
        <f>S149/Q149</f>
        <v>0.80388716933796112</v>
      </c>
      <c r="X149" s="36"/>
    </row>
    <row r="150" spans="1:24" s="38" customFormat="1" ht="39.75" customHeight="1" x14ac:dyDescent="0.2">
      <c r="A150" s="108" t="s">
        <v>123</v>
      </c>
      <c r="B150" s="109">
        <v>3204</v>
      </c>
      <c r="C150" s="109" t="s">
        <v>171</v>
      </c>
      <c r="D150" s="109">
        <v>1</v>
      </c>
      <c r="E150" s="110"/>
      <c r="F150" s="110"/>
      <c r="G150" s="110" t="s">
        <v>124</v>
      </c>
      <c r="H150" s="111" t="s">
        <v>91</v>
      </c>
      <c r="I150" s="112" t="s">
        <v>15</v>
      </c>
      <c r="J150" s="113" t="s">
        <v>158</v>
      </c>
      <c r="K150" s="6">
        <v>2735617000</v>
      </c>
      <c r="L150" s="6"/>
      <c r="M150" s="6"/>
      <c r="N150" s="6"/>
      <c r="O150" s="6"/>
      <c r="P150" s="6"/>
      <c r="Q150" s="6">
        <f>K150-L150+M150-N150-O150+P150</f>
        <v>2735617000</v>
      </c>
      <c r="R150" s="6">
        <v>2596633096</v>
      </c>
      <c r="S150" s="6">
        <v>2383033990</v>
      </c>
      <c r="T150" s="6">
        <v>844838430</v>
      </c>
      <c r="U150" s="6">
        <v>844838430</v>
      </c>
      <c r="V150" s="6">
        <v>765046133</v>
      </c>
      <c r="W150" s="119">
        <f>S150/Q150</f>
        <v>0.87111389861958011</v>
      </c>
      <c r="X150" s="36"/>
    </row>
    <row r="151" spans="1:24" s="38" customFormat="1" ht="39.75" customHeight="1" thickBot="1" x14ac:dyDescent="0.25">
      <c r="A151" s="114" t="s">
        <v>123</v>
      </c>
      <c r="B151" s="114">
        <v>3204</v>
      </c>
      <c r="C151" s="114" t="s">
        <v>171</v>
      </c>
      <c r="D151" s="114">
        <v>2</v>
      </c>
      <c r="E151" s="115"/>
      <c r="F151" s="115"/>
      <c r="G151" s="115" t="s">
        <v>13</v>
      </c>
      <c r="H151" s="116" t="s">
        <v>14</v>
      </c>
      <c r="I151" s="115" t="s">
        <v>15</v>
      </c>
      <c r="J151" s="117" t="s">
        <v>174</v>
      </c>
      <c r="K151" s="107"/>
      <c r="L151" s="107"/>
      <c r="M151" s="107"/>
      <c r="N151" s="107"/>
      <c r="O151" s="107"/>
      <c r="P151" s="107">
        <v>3517500000</v>
      </c>
      <c r="Q151" s="107">
        <f>K151-L151+M151-N151-O151+P151</f>
        <v>3517500000</v>
      </c>
      <c r="R151" s="107">
        <v>3044700995</v>
      </c>
      <c r="S151" s="107">
        <v>0</v>
      </c>
      <c r="T151" s="107">
        <v>0</v>
      </c>
      <c r="U151" s="107">
        <v>0</v>
      </c>
      <c r="V151" s="107">
        <v>0</v>
      </c>
      <c r="W151" s="119">
        <f>S151/Q151</f>
        <v>0</v>
      </c>
      <c r="X151" s="36"/>
    </row>
    <row r="152" spans="1:24" ht="14.25" thickTop="1" thickBot="1" x14ac:dyDescent="0.25">
      <c r="A152" s="125" t="s">
        <v>136</v>
      </c>
      <c r="B152" s="126"/>
      <c r="C152" s="126"/>
      <c r="D152" s="126"/>
      <c r="E152" s="126"/>
      <c r="F152" s="126"/>
      <c r="G152" s="126"/>
      <c r="H152" s="126"/>
      <c r="I152" s="126"/>
      <c r="J152" s="127"/>
      <c r="K152" s="3">
        <f t="shared" ref="K152:V152" si="54">K13+K145</f>
        <v>71328043057</v>
      </c>
      <c r="L152" s="3">
        <f t="shared" si="54"/>
        <v>4332933012.4799995</v>
      </c>
      <c r="M152" s="3">
        <f t="shared" si="54"/>
        <v>4332933012.4799995</v>
      </c>
      <c r="N152" s="3">
        <f t="shared" si="54"/>
        <v>0</v>
      </c>
      <c r="O152" s="3">
        <f t="shared" si="54"/>
        <v>0</v>
      </c>
      <c r="P152" s="3">
        <f>P13+P151</f>
        <v>3517500000</v>
      </c>
      <c r="Q152" s="3">
        <f t="shared" si="54"/>
        <v>74845543057</v>
      </c>
      <c r="R152" s="3">
        <f t="shared" si="54"/>
        <v>70349633639.480011</v>
      </c>
      <c r="S152" s="3">
        <f t="shared" si="54"/>
        <v>51616342483.139999</v>
      </c>
      <c r="T152" s="3">
        <f t="shared" si="54"/>
        <v>32614954016.760002</v>
      </c>
      <c r="U152" s="3">
        <f t="shared" si="54"/>
        <v>32573587772.760002</v>
      </c>
      <c r="V152" s="3">
        <f t="shared" si="54"/>
        <v>32052668127.760002</v>
      </c>
      <c r="W152" s="118">
        <f t="shared" si="41"/>
        <v>0.68963815846496868</v>
      </c>
      <c r="X152" s="106"/>
    </row>
    <row r="153" spans="1:24" ht="9" customHeight="1" thickTop="1" x14ac:dyDescent="0.2">
      <c r="J153" s="7"/>
      <c r="S153" s="95"/>
      <c r="W153" s="92"/>
    </row>
    <row r="154" spans="1:24" x14ac:dyDescent="0.2">
      <c r="B154" s="66"/>
      <c r="C154" s="66"/>
      <c r="E154" s="66"/>
      <c r="G154" s="66"/>
      <c r="H154" s="66"/>
      <c r="I154" s="66"/>
      <c r="J154" s="66"/>
      <c r="K154" s="66"/>
      <c r="L154" s="101"/>
      <c r="M154" s="101"/>
      <c r="N154" s="66"/>
      <c r="O154" s="66"/>
      <c r="P154" s="66"/>
      <c r="Q154" s="98"/>
      <c r="R154" s="98"/>
      <c r="S154" s="97"/>
      <c r="T154" s="97"/>
      <c r="U154" s="97"/>
      <c r="V154" s="97"/>
      <c r="W154" s="97"/>
    </row>
    <row r="155" spans="1:24" x14ac:dyDescent="0.2">
      <c r="W155" s="7"/>
    </row>
    <row r="156" spans="1:24" x14ac:dyDescent="0.2">
      <c r="N156" s="67" t="s">
        <v>161</v>
      </c>
    </row>
    <row r="157" spans="1:24" x14ac:dyDescent="0.2">
      <c r="N157" s="67" t="s">
        <v>162</v>
      </c>
    </row>
    <row r="160" spans="1:24" x14ac:dyDescent="0.2">
      <c r="N160" s="67"/>
    </row>
    <row r="161" spans="14:14" x14ac:dyDescent="0.2">
      <c r="N161" s="67"/>
    </row>
  </sheetData>
  <mergeCells count="13">
    <mergeCell ref="U11:U12"/>
    <mergeCell ref="A6:W6"/>
    <mergeCell ref="A152:J152"/>
    <mergeCell ref="A10:I10"/>
    <mergeCell ref="V11:V12"/>
    <mergeCell ref="W11:W12"/>
    <mergeCell ref="A11:I11"/>
    <mergeCell ref="J11:J12"/>
    <mergeCell ref="K11:K12"/>
    <mergeCell ref="R11:R12"/>
    <mergeCell ref="S11:S12"/>
    <mergeCell ref="T11:T12"/>
    <mergeCell ref="L11:M11"/>
  </mergeCells>
  <phoneticPr fontId="0" type="noConversion"/>
  <printOptions horizontalCentered="1"/>
  <pageMargins left="0" right="0" top="0" bottom="0" header="0" footer="0"/>
  <pageSetup scale="68" orientation="landscape" r:id="rId1"/>
  <headerFooter alignWithMargins="0">
    <oddFooter>&amp;L&amp;C&amp;R</oddFooter>
  </headerFooter>
  <ignoredErrors>
    <ignoredError sqref="K23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B23"/>
  <sheetViews>
    <sheetView workbookViewId="0">
      <selection activeCell="E19" sqref="E19"/>
    </sheetView>
  </sheetViews>
  <sheetFormatPr baseColWidth="10" defaultRowHeight="12.75" x14ac:dyDescent="0.2"/>
  <cols>
    <col min="1" max="1" width="13.85546875" bestFit="1" customWidth="1"/>
    <col min="2" max="2" width="18.5703125" bestFit="1" customWidth="1"/>
  </cols>
  <sheetData>
    <row r="23" spans="1:2" x14ac:dyDescent="0.2">
      <c r="A23" s="68"/>
      <c r="B23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JULIO</vt:lpstr>
      <vt:lpstr>Hoja1</vt:lpstr>
      <vt:lpstr>JULIO!Área_de_impresión</vt:lpstr>
      <vt:lpstr>JULIO!Títulos_a_imprimir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2011-03-25T23:50:01Z</dcterms:created>
  <dcterms:modified xsi:type="dcterms:W3CDTF">2017-08-11T15:33:51Z</dcterms:modified>
</cp:coreProperties>
</file>