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3840" windowHeight="13335" activeTab="0"/>
  </bookViews>
  <sheets>
    <sheet name="DICIEMBRE" sheetId="1" r:id="rId1"/>
    <sheet name="Hoja1" sheetId="2" r:id="rId2"/>
  </sheets>
  <definedNames>
    <definedName name="_xlnm._FilterDatabase" localSheetId="0" hidden="1">'DICIEMBRE'!$A$12:$Y$149</definedName>
    <definedName name="_xlnm.Print_Area" localSheetId="0">'DICIEMBRE'!$A$1:$W$159</definedName>
    <definedName name="_xlnm.Print_Titles" localSheetId="0">'DICIEMBRE'!$2:$12</definedName>
  </definedNames>
  <calcPr fullCalcOnLoad="1"/>
</workbook>
</file>

<file path=xl/sharedStrings.xml><?xml version="1.0" encoding="utf-8"?>
<sst xmlns="http://schemas.openxmlformats.org/spreadsheetml/2006/main" count="1121" uniqueCount="185">
  <si>
    <t>TIPO</t>
  </si>
  <si>
    <t>CTA</t>
  </si>
  <si>
    <t>SUB
CTA</t>
  </si>
  <si>
    <t>OBJ</t>
  </si>
  <si>
    <t>ORD</t>
  </si>
  <si>
    <t>SOR
ORD</t>
  </si>
  <si>
    <t>FUENTE</t>
  </si>
  <si>
    <t>REC</t>
  </si>
  <si>
    <t>SIT</t>
  </si>
  <si>
    <t>DESCRIPCION</t>
  </si>
  <si>
    <t>A</t>
  </si>
  <si>
    <t>1</t>
  </si>
  <si>
    <t>0</t>
  </si>
  <si>
    <t>Nación</t>
  </si>
  <si>
    <t>10</t>
  </si>
  <si>
    <t>CSF</t>
  </si>
  <si>
    <t>SUELDOS</t>
  </si>
  <si>
    <t>2</t>
  </si>
  <si>
    <t>SUELDOS DE VACACIONES</t>
  </si>
  <si>
    <t>4</t>
  </si>
  <si>
    <t>INCAPACIDADES Y LICENCIA DE MATERNIDAD</t>
  </si>
  <si>
    <t>PRIMA TECNICA NO SALARIAL</t>
  </si>
  <si>
    <t>5</t>
  </si>
  <si>
    <t>BONIFICACION POR SERVICIOS PRESTADOS</t>
  </si>
  <si>
    <t>BONIFICACION ESPECIAL DE RECREACION</t>
  </si>
  <si>
    <t>12</t>
  </si>
  <si>
    <t>SUBSIDIO DE ALIMENTACION</t>
  </si>
  <si>
    <t>13</t>
  </si>
  <si>
    <t>AUXILIO DE TRANSPORTE</t>
  </si>
  <si>
    <t>14</t>
  </si>
  <si>
    <t>PRIMA DE SERVICIO</t>
  </si>
  <si>
    <t>15</t>
  </si>
  <si>
    <t>PRIMA DE VACACIONES</t>
  </si>
  <si>
    <t>16</t>
  </si>
  <si>
    <t>PRIMA DE NAVIDAD</t>
  </si>
  <si>
    <t>37</t>
  </si>
  <si>
    <t>QUINQUENIOS</t>
  </si>
  <si>
    <t>45</t>
  </si>
  <si>
    <t>PRIMAS EXTRALEGALES PROVISIONADAS</t>
  </si>
  <si>
    <t>47</t>
  </si>
  <si>
    <t>PRIMA DE COORDINACION</t>
  </si>
  <si>
    <t>92</t>
  </si>
  <si>
    <t>BONIFICACION DE DIRECCION</t>
  </si>
  <si>
    <t>9</t>
  </si>
  <si>
    <t>HORAS EXTRAS</t>
  </si>
  <si>
    <t>RECARGOS NOCTURNOS Y FESTIVOS</t>
  </si>
  <si>
    <t>3</t>
  </si>
  <si>
    <t>INDEMNIZACION POR VACACIONES</t>
  </si>
  <si>
    <t>HONORARIOS</t>
  </si>
  <si>
    <t>CAJAS DE COMPENSACION PRIVADAS</t>
  </si>
  <si>
    <t>FONDOS ADMINISTRADORES DE PENSIONES PRIVADOS</t>
  </si>
  <si>
    <t>EMPRESAS PRIVADAS PROMOTORAS DE SALUD</t>
  </si>
  <si>
    <t>ADMINISTRADORAS PRIVADAS DE APORTES PARA ACCIDENTES DE TRABAJO Y ENFERMEDADES PROFESIONALES</t>
  </si>
  <si>
    <t>FONDO NACIONAL DEL AHORRO</t>
  </si>
  <si>
    <t>FONDOS ADMINISTRADORES DE PENSIONES PUBLICOS</t>
  </si>
  <si>
    <t>6</t>
  </si>
  <si>
    <t>APORTES AL ICBF</t>
  </si>
  <si>
    <t>7</t>
  </si>
  <si>
    <t>APORTES AL SENA</t>
  </si>
  <si>
    <t>50</t>
  </si>
  <si>
    <t>IMPUESTO DE VEHICULO</t>
  </si>
  <si>
    <t>IMPUESTO PREDIAL</t>
  </si>
  <si>
    <t>8</t>
  </si>
  <si>
    <t>SOFTWARE</t>
  </si>
  <si>
    <t>25</t>
  </si>
  <si>
    <t>OTRAS COMPRAS DE EQUIPOS</t>
  </si>
  <si>
    <t>COMBUSTIBLE Y LUBRICANTES</t>
  </si>
  <si>
    <t>DOTACION</t>
  </si>
  <si>
    <t>MATERIALES REACTIVOS DE LABORATORIO Y QUÍMICOS</t>
  </si>
  <si>
    <t>PAPELERIA, UTILES DE ESCRITORIO Y OFICINA</t>
  </si>
  <si>
    <t>23</t>
  </si>
  <si>
    <t>OTROS MATERIALES Y SUMINISTROS</t>
  </si>
  <si>
    <t>MANTENIMIENTO DE BIENES INMUEBLES</t>
  </si>
  <si>
    <t>MANTENIMIENTO DE BIENES MUEBLES, EQUIPOS Y ENSERES</t>
  </si>
  <si>
    <t>MANTENIMIENTO EQUIPO COMUNICACIONES Y COMPUTACION</t>
  </si>
  <si>
    <t>MANTENIMIENTO EQUIPO DE NAVEGACION Y TRANSPORTE</t>
  </si>
  <si>
    <t>SERVICIO DE ASEO</t>
  </si>
  <si>
    <t>SERVICIO DE SEGURIDAD Y VIGILANCIA</t>
  </si>
  <si>
    <t>MANTENIMIENTO DE SOFTWARE</t>
  </si>
  <si>
    <t>CORREO</t>
  </si>
  <si>
    <t>EMBALAJE Y ACARREO</t>
  </si>
  <si>
    <t>SERVICIOS DE TRANSMISION DE INFORMACION</t>
  </si>
  <si>
    <t>OTROS GASTOS POR IMPRESOS Y PUBLICACIONES</t>
  </si>
  <si>
    <t>ACUEDUCTO ALCANTARILLADO Y ASEO</t>
  </si>
  <si>
    <t>ENERGIA</t>
  </si>
  <si>
    <t>GAS NATURAL</t>
  </si>
  <si>
    <t>TELEFONIA MOVIL CELULAR</t>
  </si>
  <si>
    <t>TELEFONO,FAX Y OTROS</t>
  </si>
  <si>
    <t>11</t>
  </si>
  <si>
    <t>SEGUROS GENERALES</t>
  </si>
  <si>
    <t>VIATICOS Y GASTOS DE VIAJE AL EXTERIOR</t>
  </si>
  <si>
    <t>VIATICOS Y GASTOS DE VIAJE AL INTERIOR</t>
  </si>
  <si>
    <t>OTROS GASTOS DE OPERACION ADUANERA</t>
  </si>
  <si>
    <t>21</t>
  </si>
  <si>
    <t>SERVICIOS DE BIENESTAR SOCIAL</t>
  </si>
  <si>
    <t>SERVICIOS DE CAPACITACION</t>
  </si>
  <si>
    <t>OTROS GASTOS POR ADQUISICION DE SERVICIOS</t>
  </si>
  <si>
    <t>SUELDOS DE PERSONAL DE NOMINA</t>
  </si>
  <si>
    <t>SERVICIOS PERSONALES ASOCIADOS A NOMINA</t>
  </si>
  <si>
    <t>GASTOS DE PERSONAL</t>
  </si>
  <si>
    <t>PRIMA TECNICA</t>
  </si>
  <si>
    <t>OTROS</t>
  </si>
  <si>
    <t>HORAS EXTRAS, DIAS FESTIVOS E INDEMNIZACION POR VACACIONES</t>
  </si>
  <si>
    <t>SERVICIOS PERSONALES INDIRECTOS</t>
  </si>
  <si>
    <t>CONTRIBUCIONES INHERENTES A LA NOMINA SECTOR PRIVADO Y PUBLICO</t>
  </si>
  <si>
    <t>IMPUESTOS Y MULTAS</t>
  </si>
  <si>
    <t>ADMINISTRADAS POR EL SECTOR PRIVADO</t>
  </si>
  <si>
    <t>ADMINISTRADAS POR EL SECTOR PUBLICO</t>
  </si>
  <si>
    <t>ADQUISICION DE BIENES Y SERVICIOS</t>
  </si>
  <si>
    <t>COMPRA DE EQUIPO</t>
  </si>
  <si>
    <t>GASTOS GENERALES</t>
  </si>
  <si>
    <t>MATERIALES Y SUMINISTROS</t>
  </si>
  <si>
    <t>MANTENIMIENTO</t>
  </si>
  <si>
    <t>COMUNICACIONES Y TRANSPORTES</t>
  </si>
  <si>
    <t>IMPRESOS Y PUBLICACIONES</t>
  </si>
  <si>
    <t>SERVICIOS PUBLICOS</t>
  </si>
  <si>
    <t>SEGUROS</t>
  </si>
  <si>
    <t>ARRENDAMIENTOS</t>
  </si>
  <si>
    <t>VIATICOS Y GASTOS DE VIAJE</t>
  </si>
  <si>
    <t>CAPACITACION, BIENESTAR SOCIAL Y ESTIMULOS</t>
  </si>
  <si>
    <t>SSF</t>
  </si>
  <si>
    <t>CUOTA DE AUDITAJE CONTRANAL</t>
  </si>
  <si>
    <t>73</t>
  </si>
  <si>
    <t>INSTITUTO INTERAMERICANO PARA LA INVESTIGACION DEL CAMBIO GLOBAL -IAI-CONTRIBUCION VOLUNTARIA (LEY 304/96)</t>
  </si>
  <si>
    <t>SENTENCIAS Y CONCILIACIONES</t>
  </si>
  <si>
    <t>C</t>
  </si>
  <si>
    <t>520</t>
  </si>
  <si>
    <t>900</t>
  </si>
  <si>
    <t>Propios</t>
  </si>
  <si>
    <t>20</t>
  </si>
  <si>
    <t>IDENTIFICACION PREUPUESTAL</t>
  </si>
  <si>
    <t>CDP ACUMULADOS</t>
  </si>
  <si>
    <t>COMPROMISO ACUMULADOS</t>
  </si>
  <si>
    <t>OBLIGACION ACUMULADOS</t>
  </si>
  <si>
    <t>ORDEN PAGO ACUMULADOS</t>
  </si>
  <si>
    <t>PAGOS ACUMULADOS</t>
  </si>
  <si>
    <t>INVERSION</t>
  </si>
  <si>
    <t>INVERSION NACION</t>
  </si>
  <si>
    <t>INVERSION PROPIOS</t>
  </si>
  <si>
    <t>GASTOS DE FUNCIONAMIENTO</t>
  </si>
  <si>
    <t>TOTAL FUNCIONAMIENTO E INVERSION</t>
  </si>
  <si>
    <t>INFORME DE EJECUCION PRESUPUESTAL</t>
  </si>
  <si>
    <r>
      <rPr>
        <b/>
        <sz val="11"/>
        <rFont val="Arial"/>
        <family val="2"/>
      </rPr>
      <t>%</t>
    </r>
    <r>
      <rPr>
        <b/>
        <sz val="7"/>
        <rFont val="Arial"/>
        <family val="2"/>
      </rPr>
      <t xml:space="preserve"> EJECUCION</t>
    </r>
  </si>
  <si>
    <t>APROPIACION VIGENTE</t>
  </si>
  <si>
    <t>AÑO FISCAL:                             2012</t>
  </si>
  <si>
    <t>INVERSION ESPECIFICA</t>
  </si>
  <si>
    <t>REMUNERACION SERVICIOS TECNICOS</t>
  </si>
  <si>
    <t>TRANSFERENCIAS</t>
  </si>
  <si>
    <t>GASTOS DE OPERACIÓN ADUANERA</t>
  </si>
  <si>
    <t>TRANSFERENCIAS AL SECTOR PUBLICO</t>
  </si>
  <si>
    <t>ORDEN NACIONAL</t>
  </si>
  <si>
    <t>TRANSFERENCIAS AL EXTERIOR</t>
  </si>
  <si>
    <t>ORGANISMOS INTERNACIONALES</t>
  </si>
  <si>
    <t>OTRAS TRANSFERENCIAS</t>
  </si>
  <si>
    <t>TRASLADOS</t>
  </si>
  <si>
    <t>CONTRACREDITO</t>
  </si>
  <si>
    <t>CREDITO</t>
  </si>
  <si>
    <t>REDUCCION</t>
  </si>
  <si>
    <t>ADICION</t>
  </si>
  <si>
    <t>APROPIACION INICIAL</t>
  </si>
  <si>
    <t xml:space="preserve">PERIODO:                                </t>
  </si>
  <si>
    <t>PRIMA TECNICA SALARIAL</t>
  </si>
  <si>
    <r>
      <t>SECCION:</t>
    </r>
    <r>
      <rPr>
        <u val="single"/>
        <sz val="7"/>
        <rFont val="Arial"/>
        <family val="2"/>
      </rPr>
      <t xml:space="preserve"> </t>
    </r>
    <r>
      <rPr>
        <sz val="7"/>
        <rFont val="Arial"/>
        <family val="2"/>
      </rPr>
      <t xml:space="preserve">                                3202</t>
    </r>
  </si>
  <si>
    <t xml:space="preserve">UNIDAD EJECUTORA:                000 </t>
  </si>
  <si>
    <t>FORTALECIMIENTO DE LA GESTIÓN DEL CONOCIMIENTO HIDROLÓGICO, METEOROLÓGICO, AMBIENTAL Y CLIMÁTICO</t>
  </si>
  <si>
    <t>BLOQUEADA</t>
  </si>
  <si>
    <t>LLANTAS Y ACCESORIOS</t>
  </si>
  <si>
    <t>OTROS IMPUESTOS</t>
  </si>
  <si>
    <t>MATERIALES DE CONSTRUCCION</t>
  </si>
  <si>
    <t>ARRENDAMIENTOS BIENES INMUEBLES</t>
  </si>
  <si>
    <t>IMPUESTOS Y CONTRIBUCIONES</t>
  </si>
  <si>
    <t>COMISIONES BANCARIAS</t>
  </si>
  <si>
    <t xml:space="preserve">GASTOS FINANCIEROS </t>
  </si>
  <si>
    <t xml:space="preserve">SENTENCIAS </t>
  </si>
  <si>
    <t>MOBILIARIO Y ENSERES</t>
  </si>
  <si>
    <t>OTROS ENSERES Y EQUIPO DE OFICINA</t>
  </si>
  <si>
    <t>SERVICIOS PARA ESTIMULOS</t>
  </si>
  <si>
    <t>GASTOS JUDICIALES</t>
  </si>
  <si>
    <t xml:space="preserve">ENSERES Y EQUIPOS DE OFICINA </t>
  </si>
  <si>
    <t>CONCILIACIONES</t>
  </si>
  <si>
    <t>OTROS GASTOS PERSONALES - DISTRIBUCION PREVIO CONCEPTO DGPPN</t>
  </si>
  <si>
    <t>COORDINADOR GRUPO DE PRESUPUESTO</t>
  </si>
  <si>
    <t xml:space="preserve">JANNETH ANDERA SABOGAL PORTILLA </t>
  </si>
  <si>
    <t xml:space="preserve">PAGOS PASIVOS EXIGIBLES VIGENCIAS EXPIRADAS </t>
  </si>
  <si>
    <t>DICIEMBRE</t>
  </si>
</sst>
</file>

<file path=xl/styles.xml><?xml version="1.0" encoding="utf-8"?>
<styleSheet xmlns="http://schemas.openxmlformats.org/spreadsheetml/2006/main">
  <numFmts count="1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  <numFmt numFmtId="166" formatCode="#,##0.000"/>
    <numFmt numFmtId="167" formatCode="#,##0.0000"/>
    <numFmt numFmtId="168" formatCode="#,##0.0"/>
    <numFmt numFmtId="169" formatCode="_(* #,##0.000_);_(* \(#,##0.000\);_(* &quot;-&quot;??_);_(@_)"/>
    <numFmt numFmtId="170" formatCode="_(* #,##0.0000_);_(* \(#,##0.0000\);_(* &quot;-&quot;??_);_(@_)"/>
    <numFmt numFmtId="171" formatCode="_(* #,##0.0_);_(* \(#,##0.0\);_(* &quot;-&quot;??_);_(@_)"/>
    <numFmt numFmtId="172" formatCode="_(* #,##0_);_(* \(#,##0\);_(* &quot;-&quot;??_);_(@_)"/>
    <numFmt numFmtId="173" formatCode="0.0%"/>
    <numFmt numFmtId="174" formatCode="[$-1240A]&quot;$&quot;\ #,##0.00;\(&quot;$&quot;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7"/>
      <name val="Arial"/>
      <family val="2"/>
    </font>
    <font>
      <b/>
      <sz val="7"/>
      <color indexed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5"/>
      <name val="Arial"/>
      <family val="2"/>
    </font>
    <font>
      <sz val="6"/>
      <name val="Arial"/>
      <family val="2"/>
    </font>
    <font>
      <b/>
      <sz val="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ashed"/>
    </border>
    <border>
      <left style="thin"/>
      <right style="thin"/>
      <top style="dashed"/>
      <bottom style="dashed"/>
    </border>
    <border>
      <left style="thin"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/>
      <right/>
      <top/>
      <bottom style="double"/>
    </border>
    <border>
      <left style="double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double"/>
    </border>
    <border>
      <left style="double"/>
      <right/>
      <top style="double"/>
      <bottom style="dashed"/>
    </border>
    <border>
      <left style="thin"/>
      <right/>
      <top style="double"/>
      <bottom style="dashed"/>
    </border>
    <border>
      <left style="double"/>
      <right/>
      <top style="dashed"/>
      <bottom style="dashed"/>
    </border>
    <border>
      <left style="thin"/>
      <right/>
      <top style="dashed"/>
      <bottom style="dashed"/>
    </border>
    <border>
      <left/>
      <right style="double"/>
      <top style="double"/>
      <bottom/>
    </border>
    <border>
      <left/>
      <right style="double"/>
      <top/>
      <bottom/>
    </border>
    <border>
      <left/>
      <right style="double"/>
      <top/>
      <bottom style="double"/>
    </border>
    <border>
      <left style="thin"/>
      <right style="double"/>
      <top style="double"/>
      <bottom style="thin"/>
    </border>
    <border>
      <left style="thin"/>
      <right style="double"/>
      <top style="double"/>
      <bottom/>
    </border>
    <border>
      <left style="thin"/>
      <right style="double"/>
      <top style="dashed"/>
      <bottom style="dashed"/>
    </border>
    <border>
      <left style="thin"/>
      <right style="double"/>
      <top/>
      <bottom style="dashed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 style="double"/>
      <top style="dash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/>
      <bottom style="double"/>
    </border>
    <border>
      <left style="thin"/>
      <right style="double"/>
      <top/>
      <bottom style="double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double"/>
      <top style="double"/>
      <bottom style="medium"/>
    </border>
    <border>
      <left style="double"/>
      <right style="thin"/>
      <top style="double"/>
      <bottom/>
    </border>
    <border>
      <left style="double"/>
      <right style="thin"/>
      <top/>
      <bottom style="double"/>
    </border>
    <border>
      <left style="thin"/>
      <right/>
      <top style="double"/>
      <bottom/>
    </border>
    <border>
      <left/>
      <right style="thin"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61">
    <xf numFmtId="0" fontId="0" fillId="0" borderId="0" xfId="0" applyAlignment="1">
      <alignment/>
    </xf>
    <xf numFmtId="4" fontId="5" fillId="33" borderId="10" xfId="53" applyNumberFormat="1" applyFont="1" applyFill="1" applyBorder="1" applyAlignment="1">
      <alignment horizontal="right" vertical="center" shrinkToFit="1"/>
      <protection/>
    </xf>
    <xf numFmtId="4" fontId="5" fillId="33" borderId="11" xfId="53" applyNumberFormat="1" applyFont="1" applyFill="1" applyBorder="1" applyAlignment="1">
      <alignment horizontal="right" vertical="center" shrinkToFit="1"/>
      <protection/>
    </xf>
    <xf numFmtId="4" fontId="5" fillId="33" borderId="12" xfId="53" applyNumberFormat="1" applyFont="1" applyFill="1" applyBorder="1" applyAlignment="1">
      <alignment horizontal="right" vertical="center" shrinkToFit="1"/>
      <protection/>
    </xf>
    <xf numFmtId="4" fontId="53" fillId="33" borderId="11" xfId="53" applyNumberFormat="1" applyFont="1" applyFill="1" applyBorder="1" applyAlignment="1">
      <alignment horizontal="right" vertical="center" shrinkToFit="1"/>
      <protection/>
    </xf>
    <xf numFmtId="4" fontId="53" fillId="33" borderId="10" xfId="53" applyNumberFormat="1" applyFont="1" applyFill="1" applyBorder="1" applyAlignment="1">
      <alignment horizontal="right" vertical="center" shrinkToFit="1"/>
      <protection/>
    </xf>
    <xf numFmtId="4" fontId="6" fillId="33" borderId="11" xfId="53" applyNumberFormat="1" applyFont="1" applyFill="1" applyBorder="1" applyAlignment="1">
      <alignment horizontal="right" vertical="center" shrinkToFit="1"/>
      <protection/>
    </xf>
    <xf numFmtId="4" fontId="6" fillId="33" borderId="0" xfId="53" applyNumberFormat="1" applyFont="1" applyFill="1">
      <alignment/>
      <protection/>
    </xf>
    <xf numFmtId="0" fontId="6" fillId="33" borderId="0" xfId="53" applyFont="1" applyFill="1">
      <alignment/>
      <protection/>
    </xf>
    <xf numFmtId="0" fontId="9" fillId="33" borderId="13" xfId="53" applyFont="1" applyFill="1" applyBorder="1" applyAlignment="1" applyProtection="1">
      <alignment vertical="center"/>
      <protection/>
    </xf>
    <xf numFmtId="0" fontId="9" fillId="33" borderId="14" xfId="53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>
      <alignment/>
    </xf>
    <xf numFmtId="0" fontId="9" fillId="33" borderId="15" xfId="53" applyFont="1" applyFill="1" applyBorder="1" applyAlignment="1" applyProtection="1">
      <alignment vertical="center"/>
      <protection/>
    </xf>
    <xf numFmtId="0" fontId="9" fillId="33" borderId="0" xfId="53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9" fillId="33" borderId="0" xfId="53" applyFont="1" applyFill="1" applyBorder="1" applyAlignment="1" applyProtection="1">
      <alignment horizontal="center" vertical="center"/>
      <protection/>
    </xf>
    <xf numFmtId="0" fontId="9" fillId="33" borderId="15" xfId="53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15" xfId="53" applyFont="1" applyFill="1" applyBorder="1" applyAlignment="1" applyProtection="1">
      <alignment vertical="center"/>
      <protection/>
    </xf>
    <xf numFmtId="0" fontId="6" fillId="33" borderId="0" xfId="53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horizontal="left"/>
      <protection/>
    </xf>
    <xf numFmtId="0" fontId="6" fillId="33" borderId="0" xfId="53" applyFont="1" applyFill="1" applyBorder="1" applyAlignment="1" applyProtection="1">
      <alignment/>
      <protection/>
    </xf>
    <xf numFmtId="0" fontId="6" fillId="33" borderId="15" xfId="53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quotePrefix="1">
      <alignment horizontal="right" vertical="center"/>
    </xf>
    <xf numFmtId="4" fontId="6" fillId="33" borderId="0" xfId="0" applyNumberFormat="1" applyFont="1" applyFill="1" applyBorder="1" applyAlignment="1">
      <alignment horizontal="left" vertical="center"/>
    </xf>
    <xf numFmtId="0" fontId="6" fillId="33" borderId="16" xfId="0" applyFont="1" applyFill="1" applyBorder="1" applyAlignment="1" applyProtection="1">
      <alignment vertical="center"/>
      <protection/>
    </xf>
    <xf numFmtId="4" fontId="6" fillId="33" borderId="16" xfId="0" applyNumberFormat="1" applyFont="1" applyFill="1" applyBorder="1" applyAlignment="1" applyProtection="1">
      <alignment vertical="center"/>
      <protection/>
    </xf>
    <xf numFmtId="0" fontId="5" fillId="33" borderId="17" xfId="53" applyFont="1" applyFill="1" applyBorder="1" applyAlignment="1">
      <alignment horizontal="center" vertical="center" wrapText="1"/>
      <protection/>
    </xf>
    <xf numFmtId="0" fontId="12" fillId="33" borderId="17" xfId="53" applyFont="1" applyFill="1" applyBorder="1" applyAlignment="1">
      <alignment horizontal="center" vertical="center" wrapText="1"/>
      <protection/>
    </xf>
    <xf numFmtId="0" fontId="5" fillId="33" borderId="18" xfId="53" applyFont="1" applyFill="1" applyBorder="1" applyAlignment="1">
      <alignment horizontal="center" vertical="center" wrapText="1"/>
      <protection/>
    </xf>
    <xf numFmtId="4" fontId="5" fillId="33" borderId="19" xfId="53" applyNumberFormat="1" applyFont="1" applyFill="1" applyBorder="1" applyAlignment="1">
      <alignment horizontal="center" vertical="center" wrapText="1"/>
      <protection/>
    </xf>
    <xf numFmtId="4" fontId="0" fillId="33" borderId="0" xfId="0" applyNumberFormat="1" applyFill="1" applyBorder="1" applyAlignment="1" applyProtection="1">
      <alignment vertical="center"/>
      <protection/>
    </xf>
    <xf numFmtId="0" fontId="0" fillId="33" borderId="0" xfId="0" applyFill="1" applyAlignment="1">
      <alignment/>
    </xf>
    <xf numFmtId="0" fontId="0" fillId="33" borderId="0" xfId="0" applyFill="1" applyAlignment="1" applyProtection="1">
      <alignment vertical="center"/>
      <protection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1" fontId="5" fillId="33" borderId="20" xfId="53" applyNumberFormat="1" applyFont="1" applyFill="1" applyBorder="1" applyAlignment="1">
      <alignment horizontal="left" vertical="center" shrinkToFit="1"/>
      <protection/>
    </xf>
    <xf numFmtId="1" fontId="5" fillId="33" borderId="10" xfId="53" applyNumberFormat="1" applyFont="1" applyFill="1" applyBorder="1" applyAlignment="1">
      <alignment horizontal="left" vertical="center" shrinkToFit="1"/>
      <protection/>
    </xf>
    <xf numFmtId="1" fontId="5" fillId="33" borderId="21" xfId="53" applyNumberFormat="1" applyFont="1" applyFill="1" applyBorder="1" applyAlignment="1">
      <alignment horizontal="left" vertical="center" shrinkToFit="1"/>
      <protection/>
    </xf>
    <xf numFmtId="1" fontId="5" fillId="33" borderId="22" xfId="53" applyNumberFormat="1" applyFont="1" applyFill="1" applyBorder="1" applyAlignment="1">
      <alignment horizontal="left" vertical="center" shrinkToFit="1"/>
      <protection/>
    </xf>
    <xf numFmtId="1" fontId="5" fillId="33" borderId="11" xfId="53" applyNumberFormat="1" applyFont="1" applyFill="1" applyBorder="1" applyAlignment="1">
      <alignment horizontal="left" vertical="center" shrinkToFit="1"/>
      <protection/>
    </xf>
    <xf numFmtId="4" fontId="5" fillId="33" borderId="11" xfId="49" applyNumberFormat="1" applyFont="1" applyFill="1" applyBorder="1" applyAlignment="1">
      <alignment horizontal="left" vertical="center"/>
    </xf>
    <xf numFmtId="4" fontId="5" fillId="33" borderId="23" xfId="49" applyNumberFormat="1" applyFont="1" applyFill="1" applyBorder="1" applyAlignment="1">
      <alignment horizontal="left" vertical="center"/>
    </xf>
    <xf numFmtId="1" fontId="5" fillId="33" borderId="11" xfId="53" applyNumberFormat="1" applyFont="1" applyFill="1" applyBorder="1" applyAlignment="1">
      <alignment horizontal="justify" vertical="justify" wrapText="1"/>
      <protection/>
    </xf>
    <xf numFmtId="1" fontId="6" fillId="33" borderId="22" xfId="53" applyNumberFormat="1" applyFont="1" applyFill="1" applyBorder="1" applyAlignment="1">
      <alignment horizontal="left" vertical="center" shrinkToFit="1"/>
      <protection/>
    </xf>
    <xf numFmtId="1" fontId="6" fillId="33" borderId="11" xfId="53" applyNumberFormat="1" applyFont="1" applyFill="1" applyBorder="1" applyAlignment="1">
      <alignment horizontal="left" vertical="center" shrinkToFit="1"/>
      <protection/>
    </xf>
    <xf numFmtId="4" fontId="6" fillId="33" borderId="11" xfId="49" applyNumberFormat="1" applyFont="1" applyFill="1" applyBorder="1" applyAlignment="1">
      <alignment horizontal="left" vertical="center"/>
    </xf>
    <xf numFmtId="4" fontId="6" fillId="33" borderId="23" xfId="49" applyNumberFormat="1" applyFont="1" applyFill="1" applyBorder="1" applyAlignment="1">
      <alignment horizontal="left" vertical="center"/>
    </xf>
    <xf numFmtId="3" fontId="5" fillId="33" borderId="11" xfId="49" applyNumberFormat="1" applyFont="1" applyFill="1" applyBorder="1" applyAlignment="1">
      <alignment horizontal="left" vertical="center"/>
    </xf>
    <xf numFmtId="1" fontId="6" fillId="33" borderId="11" xfId="53" applyNumberFormat="1" applyFont="1" applyFill="1" applyBorder="1" applyAlignment="1">
      <alignment horizontal="justify" vertical="justify" wrapText="1"/>
      <protection/>
    </xf>
    <xf numFmtId="1" fontId="13" fillId="33" borderId="11" xfId="53" applyNumberFormat="1" applyFont="1" applyFill="1" applyBorder="1" applyAlignment="1">
      <alignment horizontal="justify" vertical="justify" wrapText="1"/>
      <protection/>
    </xf>
    <xf numFmtId="3" fontId="6" fillId="33" borderId="11" xfId="49" applyNumberFormat="1" applyFont="1" applyFill="1" applyBorder="1" applyAlignment="1">
      <alignment horizontal="left" vertical="center"/>
    </xf>
    <xf numFmtId="4" fontId="0" fillId="33" borderId="0" xfId="0" applyNumberFormat="1" applyFill="1" applyAlignment="1">
      <alignment/>
    </xf>
    <xf numFmtId="49" fontId="6" fillId="33" borderId="0" xfId="53" applyNumberFormat="1" applyFont="1" applyFill="1" applyAlignment="1">
      <alignment horizontal="center"/>
      <protection/>
    </xf>
    <xf numFmtId="49" fontId="9" fillId="33" borderId="14" xfId="53" applyNumberFormat="1" applyFont="1" applyFill="1" applyBorder="1" applyAlignment="1" applyProtection="1">
      <alignment horizontal="center" vertical="center"/>
      <protection/>
    </xf>
    <xf numFmtId="49" fontId="9" fillId="33" borderId="0" xfId="53" applyNumberFormat="1" applyFont="1" applyFill="1" applyBorder="1" applyAlignment="1" applyProtection="1">
      <alignment horizontal="center" vertical="center"/>
      <protection/>
    </xf>
    <xf numFmtId="49" fontId="6" fillId="33" borderId="0" xfId="53" applyNumberFormat="1" applyFont="1" applyFill="1" applyBorder="1" applyAlignment="1" applyProtection="1">
      <alignment horizontal="center" vertical="center"/>
      <protection/>
    </xf>
    <xf numFmtId="49" fontId="6" fillId="33" borderId="0" xfId="53" applyNumberFormat="1" applyFont="1" applyFill="1" applyBorder="1" applyAlignment="1" applyProtection="1">
      <alignment horizontal="center"/>
      <protection/>
    </xf>
    <xf numFmtId="49" fontId="14" fillId="33" borderId="17" xfId="53" applyNumberFormat="1" applyFont="1" applyFill="1" applyBorder="1" applyAlignment="1">
      <alignment horizontal="center" vertical="center" wrapText="1"/>
      <protection/>
    </xf>
    <xf numFmtId="49" fontId="5" fillId="33" borderId="10" xfId="53" applyNumberFormat="1" applyFont="1" applyFill="1" applyBorder="1" applyAlignment="1">
      <alignment horizontal="center" vertical="center" shrinkToFit="1"/>
      <protection/>
    </xf>
    <xf numFmtId="49" fontId="5" fillId="33" borderId="11" xfId="49" applyNumberFormat="1" applyFont="1" applyFill="1" applyBorder="1" applyAlignment="1">
      <alignment horizontal="center" vertical="center"/>
    </xf>
    <xf numFmtId="49" fontId="6" fillId="33" borderId="11" xfId="49" applyNumberFormat="1" applyFont="1" applyFill="1" applyBorder="1" applyAlignment="1">
      <alignment horizontal="center" vertical="center"/>
    </xf>
    <xf numFmtId="0" fontId="6" fillId="33" borderId="0" xfId="53" applyFont="1" applyFill="1" applyBorder="1" applyAlignment="1" applyProtection="1">
      <alignment horizontal="right"/>
      <protection/>
    </xf>
    <xf numFmtId="0" fontId="11" fillId="33" borderId="0" xfId="53" applyFont="1" applyFill="1" applyBorder="1" applyAlignment="1">
      <alignment/>
      <protection/>
    </xf>
    <xf numFmtId="9" fontId="6" fillId="33" borderId="0" xfId="55" applyNumberFormat="1" applyFont="1" applyFill="1" applyAlignment="1">
      <alignment/>
    </xf>
    <xf numFmtId="9" fontId="9" fillId="33" borderId="24" xfId="55" applyNumberFormat="1" applyFont="1" applyFill="1" applyBorder="1" applyAlignment="1" applyProtection="1">
      <alignment vertical="center"/>
      <protection/>
    </xf>
    <xf numFmtId="9" fontId="9" fillId="33" borderId="25" xfId="55" applyNumberFormat="1" applyFont="1" applyFill="1" applyBorder="1" applyAlignment="1" applyProtection="1">
      <alignment vertical="center"/>
      <protection/>
    </xf>
    <xf numFmtId="4" fontId="9" fillId="33" borderId="0" xfId="53" applyNumberFormat="1" applyFont="1" applyFill="1" applyBorder="1" applyAlignment="1" applyProtection="1">
      <alignment vertical="center"/>
      <protection/>
    </xf>
    <xf numFmtId="9" fontId="9" fillId="33" borderId="25" xfId="55" applyNumberFormat="1" applyFont="1" applyFill="1" applyBorder="1" applyAlignment="1" applyProtection="1">
      <alignment horizontal="center" vertical="center"/>
      <protection/>
    </xf>
    <xf numFmtId="4" fontId="6" fillId="33" borderId="0" xfId="0" applyNumberFormat="1" applyFont="1" applyFill="1" applyBorder="1" applyAlignment="1" applyProtection="1">
      <alignment vertical="center"/>
      <protection/>
    </xf>
    <xf numFmtId="4" fontId="5" fillId="33" borderId="0" xfId="0" applyNumberFormat="1" applyFont="1" applyFill="1" applyBorder="1" applyAlignment="1" applyProtection="1">
      <alignment vertical="center"/>
      <protection locked="0"/>
    </xf>
    <xf numFmtId="9" fontId="5" fillId="33" borderId="25" xfId="55" applyNumberFormat="1" applyFont="1" applyFill="1" applyBorder="1" applyAlignment="1" applyProtection="1">
      <alignment vertical="center"/>
      <protection locked="0"/>
    </xf>
    <xf numFmtId="4" fontId="6" fillId="33" borderId="0" xfId="0" applyNumberFormat="1" applyFont="1" applyFill="1" applyBorder="1" applyAlignment="1" applyProtection="1">
      <alignment horizontal="left" vertical="center"/>
      <protection/>
    </xf>
    <xf numFmtId="9" fontId="6" fillId="33" borderId="25" xfId="55" applyNumberFormat="1" applyFont="1" applyFill="1" applyBorder="1" applyAlignment="1" applyProtection="1">
      <alignment horizontal="left" vertical="center"/>
      <protection/>
    </xf>
    <xf numFmtId="0" fontId="6" fillId="33" borderId="0" xfId="0" applyNumberFormat="1" applyFont="1" applyFill="1" applyBorder="1" applyAlignment="1" applyProtection="1">
      <alignment horizontal="left" vertical="center"/>
      <protection/>
    </xf>
    <xf numFmtId="4" fontId="6" fillId="33" borderId="16" xfId="0" applyNumberFormat="1" applyFont="1" applyFill="1" applyBorder="1" applyAlignment="1">
      <alignment vertical="center"/>
    </xf>
    <xf numFmtId="4" fontId="8" fillId="33" borderId="16" xfId="55" applyNumberFormat="1" applyFont="1" applyFill="1" applyBorder="1" applyAlignment="1">
      <alignment horizontal="center" vertical="center"/>
    </xf>
    <xf numFmtId="4" fontId="5" fillId="33" borderId="16" xfId="0" applyNumberFormat="1" applyFont="1" applyFill="1" applyBorder="1" applyAlignment="1">
      <alignment horizontal="left" vertical="center"/>
    </xf>
    <xf numFmtId="9" fontId="5" fillId="33" borderId="26" xfId="55" applyNumberFormat="1" applyFont="1" applyFill="1" applyBorder="1" applyAlignment="1">
      <alignment horizontal="left" vertical="center"/>
    </xf>
    <xf numFmtId="9" fontId="5" fillId="33" borderId="27" xfId="55" applyNumberFormat="1" applyFont="1" applyFill="1" applyBorder="1" applyAlignment="1">
      <alignment horizontal="center" vertical="center"/>
    </xf>
    <xf numFmtId="9" fontId="5" fillId="33" borderId="28" xfId="55" applyNumberFormat="1" applyFont="1" applyFill="1" applyBorder="1" applyAlignment="1">
      <alignment horizontal="center" vertical="center"/>
    </xf>
    <xf numFmtId="9" fontId="5" fillId="33" borderId="29" xfId="55" applyNumberFormat="1" applyFont="1" applyFill="1" applyBorder="1" applyAlignment="1">
      <alignment horizontal="center" vertical="center"/>
    </xf>
    <xf numFmtId="9" fontId="5" fillId="33" borderId="30" xfId="55" applyNumberFormat="1" applyFont="1" applyFill="1" applyBorder="1" applyAlignment="1">
      <alignment horizontal="center" vertical="center" shrinkToFit="1"/>
    </xf>
    <xf numFmtId="9" fontId="6" fillId="33" borderId="29" xfId="55" applyNumberFormat="1" applyFont="1" applyFill="1" applyBorder="1" applyAlignment="1">
      <alignment horizontal="center" vertical="center" shrinkToFit="1"/>
    </xf>
    <xf numFmtId="9" fontId="5" fillId="33" borderId="29" xfId="55" applyNumberFormat="1" applyFont="1" applyFill="1" applyBorder="1" applyAlignment="1">
      <alignment horizontal="center" vertical="center" shrinkToFit="1"/>
    </xf>
    <xf numFmtId="10" fontId="6" fillId="33" borderId="0" xfId="55" applyNumberFormat="1" applyFont="1" applyFill="1" applyAlignment="1">
      <alignment/>
    </xf>
    <xf numFmtId="4" fontId="5" fillId="33" borderId="31" xfId="53" applyNumberFormat="1" applyFont="1" applyFill="1" applyBorder="1" applyAlignment="1">
      <alignment horizontal="center" vertical="center" wrapText="1"/>
      <protection/>
    </xf>
    <xf numFmtId="4" fontId="5" fillId="33" borderId="32" xfId="53" applyNumberFormat="1" applyFont="1" applyFill="1" applyBorder="1" applyAlignment="1">
      <alignment horizontal="center" vertical="center" wrapText="1"/>
      <protection/>
    </xf>
    <xf numFmtId="167" fontId="6" fillId="33" borderId="0" xfId="53" applyNumberFormat="1" applyFont="1" applyFill="1">
      <alignment/>
      <protection/>
    </xf>
    <xf numFmtId="1" fontId="15" fillId="33" borderId="11" xfId="53" applyNumberFormat="1" applyFont="1" applyFill="1" applyBorder="1" applyAlignment="1">
      <alignment horizontal="left" vertical="center" shrinkToFit="1"/>
      <protection/>
    </xf>
    <xf numFmtId="4" fontId="11" fillId="33" borderId="0" xfId="53" applyNumberFormat="1" applyFont="1" applyFill="1" applyBorder="1" applyAlignment="1">
      <alignment/>
      <protection/>
    </xf>
    <xf numFmtId="4" fontId="6" fillId="0" borderId="11" xfId="53" applyNumberFormat="1" applyFont="1" applyFill="1" applyBorder="1" applyAlignment="1">
      <alignment horizontal="right" vertical="center" shrinkToFit="1"/>
      <protection/>
    </xf>
    <xf numFmtId="1" fontId="5" fillId="0" borderId="22" xfId="53" applyNumberFormat="1" applyFont="1" applyFill="1" applyBorder="1" applyAlignment="1">
      <alignment horizontal="left" vertical="center" shrinkToFit="1"/>
      <protection/>
    </xf>
    <xf numFmtId="1" fontId="5" fillId="0" borderId="11" xfId="53" applyNumberFormat="1" applyFont="1" applyFill="1" applyBorder="1" applyAlignment="1">
      <alignment horizontal="left" vertical="center" shrinkToFit="1"/>
      <protection/>
    </xf>
    <xf numFmtId="4" fontId="5" fillId="0" borderId="11" xfId="49" applyNumberFormat="1" applyFont="1" applyFill="1" applyBorder="1" applyAlignment="1">
      <alignment horizontal="left" vertical="center"/>
    </xf>
    <xf numFmtId="49" fontId="5" fillId="0" borderId="11" xfId="49" applyNumberFormat="1" applyFont="1" applyFill="1" applyBorder="1" applyAlignment="1">
      <alignment horizontal="center" vertical="center"/>
    </xf>
    <xf numFmtId="4" fontId="5" fillId="0" borderId="23" xfId="49" applyNumberFormat="1" applyFont="1" applyFill="1" applyBorder="1" applyAlignment="1">
      <alignment horizontal="left" vertical="center"/>
    </xf>
    <xf numFmtId="4" fontId="53" fillId="0" borderId="11" xfId="53" applyNumberFormat="1" applyFont="1" applyFill="1" applyBorder="1" applyAlignment="1">
      <alignment horizontal="right" vertical="center" shrinkToFit="1"/>
      <protection/>
    </xf>
    <xf numFmtId="9" fontId="5" fillId="0" borderId="29" xfId="55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" fontId="6" fillId="0" borderId="22" xfId="53" applyNumberFormat="1" applyFont="1" applyFill="1" applyBorder="1" applyAlignment="1">
      <alignment horizontal="left" vertical="center" shrinkToFit="1"/>
      <protection/>
    </xf>
    <xf numFmtId="1" fontId="6" fillId="0" borderId="11" xfId="53" applyNumberFormat="1" applyFont="1" applyFill="1" applyBorder="1" applyAlignment="1">
      <alignment horizontal="left" vertical="center" shrinkToFit="1"/>
      <protection/>
    </xf>
    <xf numFmtId="4" fontId="6" fillId="0" borderId="11" xfId="49" applyNumberFormat="1" applyFont="1" applyFill="1" applyBorder="1" applyAlignment="1">
      <alignment horizontal="left" vertical="center"/>
    </xf>
    <xf numFmtId="49" fontId="6" fillId="0" borderId="11" xfId="49" applyNumberFormat="1" applyFont="1" applyFill="1" applyBorder="1" applyAlignment="1">
      <alignment horizontal="center" vertical="center"/>
    </xf>
    <xf numFmtId="4" fontId="6" fillId="0" borderId="23" xfId="49" applyNumberFormat="1" applyFont="1" applyFill="1" applyBorder="1" applyAlignment="1">
      <alignment horizontal="left" vertical="center"/>
    </xf>
    <xf numFmtId="9" fontId="6" fillId="0" borderId="29" xfId="55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1" fontId="15" fillId="0" borderId="11" xfId="53" applyNumberFormat="1" applyFont="1" applyFill="1" applyBorder="1" applyAlignment="1">
      <alignment horizontal="left" vertical="center" shrinkToFit="1"/>
      <protection/>
    </xf>
    <xf numFmtId="3" fontId="6" fillId="0" borderId="11" xfId="49" applyNumberFormat="1" applyFont="1" applyFill="1" applyBorder="1" applyAlignment="1">
      <alignment horizontal="left" vertical="center"/>
    </xf>
    <xf numFmtId="49" fontId="6" fillId="0" borderId="11" xfId="49" applyNumberFormat="1" applyFont="1" applyFill="1" applyBorder="1" applyAlignment="1">
      <alignment horizontal="left" vertical="center"/>
    </xf>
    <xf numFmtId="1" fontId="6" fillId="0" borderId="11" xfId="53" applyNumberFormat="1" applyFont="1" applyFill="1" applyBorder="1" applyAlignment="1">
      <alignment horizontal="justify" vertical="justify" wrapText="1"/>
      <protection/>
    </xf>
    <xf numFmtId="4" fontId="54" fillId="0" borderId="11" xfId="53" applyNumberFormat="1" applyFont="1" applyFill="1" applyBorder="1" applyAlignment="1">
      <alignment horizontal="right" vertical="center" shrinkToFit="1"/>
      <protection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13" fillId="0" borderId="11" xfId="53" applyNumberFormat="1" applyFont="1" applyFill="1" applyBorder="1" applyAlignment="1">
      <alignment horizontal="justify" vertical="justify" wrapText="1"/>
      <protection/>
    </xf>
    <xf numFmtId="9" fontId="6" fillId="0" borderId="33" xfId="55" applyNumberFormat="1" applyFont="1" applyFill="1" applyBorder="1" applyAlignment="1">
      <alignment horizontal="center" vertical="center" shrinkToFit="1"/>
    </xf>
    <xf numFmtId="49" fontId="6" fillId="33" borderId="11" xfId="49" applyNumberFormat="1" applyFont="1" applyFill="1" applyBorder="1" applyAlignment="1">
      <alignment horizontal="left" vertical="center"/>
    </xf>
    <xf numFmtId="174" fontId="55" fillId="0" borderId="34" xfId="0" applyNumberFormat="1" applyFont="1" applyFill="1" applyBorder="1" applyAlignment="1">
      <alignment horizontal="right" vertical="center" wrapText="1" readingOrder="1"/>
    </xf>
    <xf numFmtId="4" fontId="6" fillId="33" borderId="0" xfId="53" applyNumberFormat="1" applyFont="1" applyFill="1" applyBorder="1">
      <alignment/>
      <protection/>
    </xf>
    <xf numFmtId="10" fontId="5" fillId="33" borderId="35" xfId="55" applyNumberFormat="1" applyFont="1" applyFill="1" applyBorder="1" applyAlignment="1">
      <alignment horizontal="center" vertical="center" shrinkToFit="1"/>
    </xf>
    <xf numFmtId="4" fontId="5" fillId="33" borderId="31" xfId="53" applyNumberFormat="1" applyFont="1" applyFill="1" applyBorder="1" applyAlignment="1">
      <alignment horizontal="center" vertical="center" wrapText="1"/>
      <protection/>
    </xf>
    <xf numFmtId="4" fontId="5" fillId="33" borderId="32" xfId="53" applyNumberFormat="1" applyFont="1" applyFill="1" applyBorder="1" applyAlignment="1">
      <alignment horizontal="center" vertical="center" wrapText="1"/>
      <protection/>
    </xf>
    <xf numFmtId="4" fontId="6" fillId="0" borderId="0" xfId="53" applyNumberFormat="1" applyFont="1" applyFill="1">
      <alignment/>
      <protection/>
    </xf>
    <xf numFmtId="0" fontId="9" fillId="0" borderId="14" xfId="53" applyFont="1" applyFill="1" applyBorder="1" applyAlignment="1" applyProtection="1">
      <alignment vertical="center"/>
      <protection/>
    </xf>
    <xf numFmtId="0" fontId="9" fillId="0" borderId="0" xfId="53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4" fontId="6" fillId="0" borderId="16" xfId="0" applyNumberFormat="1" applyFont="1" applyFill="1" applyBorder="1" applyAlignment="1" applyProtection="1">
      <alignment vertical="center"/>
      <protection/>
    </xf>
    <xf numFmtId="4" fontId="5" fillId="0" borderId="31" xfId="53" applyNumberFormat="1" applyFont="1" applyFill="1" applyBorder="1" applyAlignment="1">
      <alignment horizontal="center" vertical="center" wrapText="1"/>
      <protection/>
    </xf>
    <xf numFmtId="4" fontId="5" fillId="0" borderId="32" xfId="53" applyNumberFormat="1" applyFont="1" applyFill="1" applyBorder="1" applyAlignment="1">
      <alignment horizontal="center" vertical="center" wrapText="1"/>
      <protection/>
    </xf>
    <xf numFmtId="4" fontId="5" fillId="0" borderId="10" xfId="53" applyNumberFormat="1" applyFont="1" applyFill="1" applyBorder="1" applyAlignment="1">
      <alignment horizontal="right" vertical="center" shrinkToFit="1"/>
      <protection/>
    </xf>
    <xf numFmtId="4" fontId="5" fillId="0" borderId="11" xfId="53" applyNumberFormat="1" applyFont="1" applyFill="1" applyBorder="1" applyAlignment="1">
      <alignment horizontal="right" vertical="center" shrinkToFit="1"/>
      <protection/>
    </xf>
    <xf numFmtId="4" fontId="53" fillId="0" borderId="10" xfId="53" applyNumberFormat="1" applyFont="1" applyFill="1" applyBorder="1" applyAlignment="1">
      <alignment horizontal="right" vertical="center" shrinkToFit="1"/>
      <protection/>
    </xf>
    <xf numFmtId="4" fontId="5" fillId="0" borderId="12" xfId="53" applyNumberFormat="1" applyFont="1" applyFill="1" applyBorder="1" applyAlignment="1">
      <alignment horizontal="right" vertical="center" shrinkToFit="1"/>
      <protection/>
    </xf>
    <xf numFmtId="4" fontId="6" fillId="0" borderId="0" xfId="53" applyNumberFormat="1" applyFont="1" applyFill="1" applyBorder="1">
      <alignment/>
      <protection/>
    </xf>
    <xf numFmtId="49" fontId="5" fillId="33" borderId="11" xfId="49" applyNumberFormat="1" applyFont="1" applyFill="1" applyBorder="1" applyAlignment="1">
      <alignment horizontal="left" vertical="center"/>
    </xf>
    <xf numFmtId="4" fontId="5" fillId="33" borderId="0" xfId="53" applyNumberFormat="1" applyFont="1" applyFill="1" applyAlignment="1">
      <alignment horizontal="center"/>
      <protection/>
    </xf>
    <xf numFmtId="4" fontId="5" fillId="33" borderId="0" xfId="53" applyNumberFormat="1" applyFont="1" applyFill="1">
      <alignment/>
      <protection/>
    </xf>
    <xf numFmtId="1" fontId="5" fillId="0" borderId="11" xfId="53" applyNumberFormat="1" applyFont="1" applyFill="1" applyBorder="1" applyAlignment="1">
      <alignment horizontal="justify" vertical="justify" wrapText="1"/>
      <protection/>
    </xf>
    <xf numFmtId="4" fontId="5" fillId="33" borderId="31" xfId="53" applyNumberFormat="1" applyFont="1" applyFill="1" applyBorder="1" applyAlignment="1">
      <alignment horizontal="center" vertical="center" wrapText="1"/>
      <protection/>
    </xf>
    <xf numFmtId="4" fontId="5" fillId="33" borderId="32" xfId="53" applyNumberFormat="1" applyFont="1" applyFill="1" applyBorder="1" applyAlignment="1">
      <alignment horizontal="center" vertical="center" wrapText="1"/>
      <protection/>
    </xf>
    <xf numFmtId="0" fontId="10" fillId="33" borderId="15" xfId="53" applyFont="1" applyFill="1" applyBorder="1" applyAlignment="1" applyProtection="1">
      <alignment horizontal="center" vertical="center"/>
      <protection/>
    </xf>
    <xf numFmtId="0" fontId="10" fillId="33" borderId="0" xfId="53" applyFont="1" applyFill="1" applyBorder="1" applyAlignment="1" applyProtection="1">
      <alignment horizontal="center" vertical="center"/>
      <protection/>
    </xf>
    <xf numFmtId="0" fontId="10" fillId="33" borderId="25" xfId="53" applyFont="1" applyFill="1" applyBorder="1" applyAlignment="1" applyProtection="1">
      <alignment horizontal="center" vertical="center"/>
      <protection/>
    </xf>
    <xf numFmtId="1" fontId="5" fillId="33" borderId="36" xfId="53" applyNumberFormat="1" applyFont="1" applyFill="1" applyBorder="1" applyAlignment="1">
      <alignment horizontal="center" vertical="center" shrinkToFit="1"/>
      <protection/>
    </xf>
    <xf numFmtId="1" fontId="5" fillId="33" borderId="37" xfId="53" applyNumberFormat="1" applyFont="1" applyFill="1" applyBorder="1" applyAlignment="1">
      <alignment horizontal="center" vertical="center" shrinkToFit="1"/>
      <protection/>
    </xf>
    <xf numFmtId="1" fontId="5" fillId="33" borderId="38" xfId="53" applyNumberFormat="1" applyFont="1" applyFill="1" applyBorder="1" applyAlignment="1">
      <alignment horizontal="center" vertical="center" shrinkToFit="1"/>
      <protection/>
    </xf>
    <xf numFmtId="0" fontId="6" fillId="33" borderId="39" xfId="53" applyFont="1" applyFill="1" applyBorder="1" applyAlignment="1">
      <alignment horizontal="center"/>
      <protection/>
    </xf>
    <xf numFmtId="0" fontId="0" fillId="33" borderId="16" xfId="0" applyFill="1" applyBorder="1" applyAlignment="1">
      <alignment/>
    </xf>
    <xf numFmtId="9" fontId="5" fillId="33" borderId="28" xfId="55" applyNumberFormat="1" applyFont="1" applyFill="1" applyBorder="1" applyAlignment="1">
      <alignment horizontal="center" vertical="center" wrapText="1"/>
    </xf>
    <xf numFmtId="9" fontId="5" fillId="33" borderId="40" xfId="55" applyNumberFormat="1" applyFont="1" applyFill="1" applyBorder="1" applyAlignment="1">
      <alignment horizontal="center" vertical="center" wrapText="1"/>
    </xf>
    <xf numFmtId="0" fontId="5" fillId="33" borderId="41" xfId="53" applyFont="1" applyFill="1" applyBorder="1" applyAlignment="1">
      <alignment horizontal="center" vertical="center" wrapText="1"/>
      <protection/>
    </xf>
    <xf numFmtId="0" fontId="5" fillId="33" borderId="42" xfId="53" applyFont="1" applyFill="1" applyBorder="1" applyAlignment="1">
      <alignment horizontal="center" vertical="center" wrapText="1"/>
      <protection/>
    </xf>
    <xf numFmtId="0" fontId="5" fillId="33" borderId="43" xfId="53" applyFont="1" applyFill="1" applyBorder="1" applyAlignment="1">
      <alignment horizontal="center" vertical="center" wrapText="1"/>
      <protection/>
    </xf>
    <xf numFmtId="0" fontId="5" fillId="33" borderId="44" xfId="53" applyFont="1" applyFill="1" applyBorder="1" applyAlignment="1">
      <alignment horizontal="center" vertical="center" wrapText="1"/>
      <protection/>
    </xf>
    <xf numFmtId="0" fontId="5" fillId="33" borderId="45" xfId="53" applyFont="1" applyFill="1" applyBorder="1" applyAlignment="1">
      <alignment horizontal="center" vertical="center" wrapText="1"/>
      <protection/>
    </xf>
    <xf numFmtId="4" fontId="5" fillId="33" borderId="46" xfId="53" applyNumberFormat="1" applyFont="1" applyFill="1" applyBorder="1" applyAlignment="1">
      <alignment horizontal="center" vertical="center" wrapText="1"/>
      <protection/>
    </xf>
    <xf numFmtId="4" fontId="5" fillId="33" borderId="47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_CONS-ENE-MODIF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47625</xdr:rowOff>
    </xdr:from>
    <xdr:to>
      <xdr:col>3</xdr:col>
      <xdr:colOff>152400</xdr:colOff>
      <xdr:row>6</xdr:row>
      <xdr:rowOff>180975</xdr:rowOff>
    </xdr:to>
    <xdr:pic>
      <xdr:nvPicPr>
        <xdr:cNvPr id="1" name="6 Imagen" descr="logo ministe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4775"/>
          <a:ext cx="6096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</xdr:colOff>
      <xdr:row>1</xdr:row>
      <xdr:rowOff>57150</xdr:rowOff>
    </xdr:from>
    <xdr:to>
      <xdr:col>22</xdr:col>
      <xdr:colOff>123825</xdr:colOff>
      <xdr:row>7</xdr:row>
      <xdr:rowOff>9525</xdr:rowOff>
    </xdr:to>
    <xdr:pic>
      <xdr:nvPicPr>
        <xdr:cNvPr id="2" name="7 Imagen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82325" y="114300"/>
          <a:ext cx="16573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54"/>
  <sheetViews>
    <sheetView showGridLines="0" tabSelected="1" zoomScale="110" zoomScaleNormal="110" zoomScaleSheetLayoutView="80" zoomScalePageLayoutView="120" workbookViewId="0" topLeftCell="C1">
      <pane ySplit="12" topLeftCell="A13" activePane="bottomLeft" state="frozen"/>
      <selection pane="topLeft" activeCell="I1" sqref="I1"/>
      <selection pane="bottomLeft" activeCell="K19" sqref="K19"/>
    </sheetView>
  </sheetViews>
  <sheetFormatPr defaultColWidth="9.140625" defaultRowHeight="12.75"/>
  <cols>
    <col min="1" max="1" width="4.8515625" style="8" customWidth="1"/>
    <col min="2" max="2" width="2.00390625" style="8" customWidth="1"/>
    <col min="3" max="3" width="2.57421875" style="8" customWidth="1"/>
    <col min="4" max="5" width="2.421875" style="8" customWidth="1"/>
    <col min="6" max="6" width="2.140625" style="8" customWidth="1"/>
    <col min="7" max="7" width="5.28125" style="8" customWidth="1"/>
    <col min="8" max="8" width="3.28125" style="56" customWidth="1"/>
    <col min="9" max="9" width="3.7109375" style="8" customWidth="1"/>
    <col min="10" max="10" width="17.7109375" style="8" customWidth="1"/>
    <col min="11" max="11" width="11.28125" style="7" customWidth="1"/>
    <col min="12" max="12" width="14.00390625" style="7" customWidth="1"/>
    <col min="13" max="13" width="12.7109375" style="7" customWidth="1"/>
    <col min="14" max="14" width="9.8515625" style="7" customWidth="1"/>
    <col min="15" max="15" width="11.00390625" style="7" customWidth="1"/>
    <col min="16" max="16" width="11.7109375" style="126" customWidth="1"/>
    <col min="17" max="17" width="10.140625" style="7" customWidth="1"/>
    <col min="18" max="18" width="11.8515625" style="7" customWidth="1"/>
    <col min="19" max="19" width="11.140625" style="7" customWidth="1"/>
    <col min="20" max="20" width="14.00390625" style="7" customWidth="1"/>
    <col min="21" max="21" width="11.8515625" style="7" customWidth="1"/>
    <col min="22" max="22" width="11.7109375" style="7" customWidth="1"/>
    <col min="23" max="23" width="12.7109375" style="67" customWidth="1"/>
    <col min="24" max="24" width="16.57421875" style="33" customWidth="1"/>
    <col min="25" max="16384" width="9.140625" style="33" customWidth="1"/>
  </cols>
  <sheetData>
    <row r="1" ht="4.5" customHeight="1" thickBot="1"/>
    <row r="2" spans="1:23" s="34" customFormat="1" ht="10.5" customHeight="1" thickTop="1">
      <c r="A2" s="9"/>
      <c r="B2" s="10"/>
      <c r="C2" s="11"/>
      <c r="D2" s="10"/>
      <c r="E2" s="11"/>
      <c r="F2" s="11"/>
      <c r="G2" s="10"/>
      <c r="H2" s="57"/>
      <c r="I2" s="10"/>
      <c r="J2" s="10"/>
      <c r="K2" s="10"/>
      <c r="L2" s="10"/>
      <c r="M2" s="10"/>
      <c r="N2" s="10"/>
      <c r="O2" s="10"/>
      <c r="P2" s="127"/>
      <c r="Q2" s="10"/>
      <c r="R2" s="10"/>
      <c r="S2" s="10"/>
      <c r="T2" s="10"/>
      <c r="U2" s="10"/>
      <c r="V2" s="10"/>
      <c r="W2" s="68"/>
    </row>
    <row r="3" spans="1:23" s="34" customFormat="1" ht="10.5" customHeight="1">
      <c r="A3" s="12"/>
      <c r="B3" s="13"/>
      <c r="C3" s="14"/>
      <c r="D3" s="13"/>
      <c r="E3" s="14"/>
      <c r="F3" s="15"/>
      <c r="G3" s="13"/>
      <c r="H3" s="58"/>
      <c r="I3" s="13"/>
      <c r="J3" s="13"/>
      <c r="K3" s="13"/>
      <c r="L3" s="13"/>
      <c r="M3" s="13"/>
      <c r="N3" s="13"/>
      <c r="O3" s="13"/>
      <c r="P3" s="128"/>
      <c r="Q3" s="13"/>
      <c r="R3" s="13"/>
      <c r="S3" s="13"/>
      <c r="T3" s="13"/>
      <c r="U3" s="13"/>
      <c r="V3" s="13"/>
      <c r="W3" s="69"/>
    </row>
    <row r="4" spans="1:23" s="34" customFormat="1" ht="10.5" customHeight="1">
      <c r="A4" s="17"/>
      <c r="B4" s="16"/>
      <c r="C4" s="14"/>
      <c r="D4" s="16"/>
      <c r="E4" s="14"/>
      <c r="F4" s="14"/>
      <c r="G4" s="16"/>
      <c r="H4" s="58"/>
      <c r="I4" s="16"/>
      <c r="J4" s="13"/>
      <c r="K4" s="18"/>
      <c r="L4" s="18"/>
      <c r="M4" s="18"/>
      <c r="N4" s="18"/>
      <c r="O4" s="18"/>
      <c r="P4" s="129"/>
      <c r="Q4" s="18"/>
      <c r="R4" s="70"/>
      <c r="S4" s="13"/>
      <c r="T4" s="18"/>
      <c r="U4" s="18"/>
      <c r="V4" s="16"/>
      <c r="W4" s="71"/>
    </row>
    <row r="5" spans="1:23" s="34" customFormat="1" ht="10.5" customHeight="1">
      <c r="A5" s="19"/>
      <c r="B5" s="20"/>
      <c r="C5" s="18"/>
      <c r="D5" s="21"/>
      <c r="E5" s="20"/>
      <c r="F5" s="14"/>
      <c r="G5" s="20"/>
      <c r="H5" s="59"/>
      <c r="I5" s="20"/>
      <c r="J5" s="22"/>
      <c r="K5" s="18"/>
      <c r="L5" s="18"/>
      <c r="M5" s="18"/>
      <c r="N5" s="18"/>
      <c r="O5" s="18"/>
      <c r="P5" s="129"/>
      <c r="Q5" s="18"/>
      <c r="R5" s="72"/>
      <c r="S5" s="72"/>
      <c r="T5" s="18"/>
      <c r="U5" s="18"/>
      <c r="V5" s="73"/>
      <c r="W5" s="74"/>
    </row>
    <row r="6" spans="1:23" s="34" customFormat="1" ht="15">
      <c r="A6" s="144" t="s">
        <v>141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6"/>
    </row>
    <row r="7" spans="1:23" s="34" customFormat="1" ht="24.75" customHeight="1">
      <c r="A7" s="23"/>
      <c r="B7" s="22"/>
      <c r="C7" s="18"/>
      <c r="D7" s="21"/>
      <c r="E7" s="22"/>
      <c r="F7" s="22"/>
      <c r="G7" s="22"/>
      <c r="H7" s="60"/>
      <c r="I7" s="18"/>
      <c r="J7" s="24"/>
      <c r="K7" s="18"/>
      <c r="L7" s="18"/>
      <c r="M7" s="18"/>
      <c r="N7" s="18"/>
      <c r="O7" s="18"/>
      <c r="P7" s="129"/>
      <c r="Q7" s="18"/>
      <c r="R7" s="18"/>
      <c r="S7" s="18"/>
      <c r="T7" s="25"/>
      <c r="U7" s="18"/>
      <c r="V7" s="75"/>
      <c r="W7" s="76"/>
    </row>
    <row r="8" spans="1:23" s="34" customFormat="1" ht="11.25" customHeight="1">
      <c r="A8" s="23"/>
      <c r="B8" s="25" t="s">
        <v>162</v>
      </c>
      <c r="C8" s="14"/>
      <c r="D8" s="21"/>
      <c r="E8" s="65"/>
      <c r="F8" s="22"/>
      <c r="G8" s="22"/>
      <c r="H8" s="60"/>
      <c r="I8" s="18"/>
      <c r="J8" s="24"/>
      <c r="K8" s="18"/>
      <c r="L8" s="18"/>
      <c r="M8" s="18"/>
      <c r="N8" s="18"/>
      <c r="O8" s="18"/>
      <c r="P8" s="129"/>
      <c r="Q8" s="18"/>
      <c r="R8" s="18"/>
      <c r="S8" s="18"/>
      <c r="T8" s="75" t="s">
        <v>144</v>
      </c>
      <c r="U8" s="77">
        <v>2016</v>
      </c>
      <c r="V8" s="75"/>
      <c r="W8" s="76"/>
    </row>
    <row r="9" spans="1:23" s="34" customFormat="1" ht="11.25" customHeight="1">
      <c r="A9" s="23"/>
      <c r="B9" s="25" t="s">
        <v>163</v>
      </c>
      <c r="C9" s="14"/>
      <c r="D9" s="21"/>
      <c r="E9" s="65"/>
      <c r="F9" s="22"/>
      <c r="G9" s="22"/>
      <c r="H9" s="60"/>
      <c r="I9" s="18"/>
      <c r="J9" s="24"/>
      <c r="K9" s="18"/>
      <c r="L9" s="18"/>
      <c r="M9" s="18"/>
      <c r="N9" s="18"/>
      <c r="O9" s="32"/>
      <c r="P9" s="129"/>
      <c r="Q9" s="18"/>
      <c r="R9" s="18"/>
      <c r="S9" s="18"/>
      <c r="T9" s="75" t="s">
        <v>160</v>
      </c>
      <c r="U9" s="75" t="s">
        <v>184</v>
      </c>
      <c r="V9" s="75"/>
      <c r="W9" s="76"/>
    </row>
    <row r="10" spans="1:23" s="34" customFormat="1" ht="8.25" customHeight="1" thickBot="1">
      <c r="A10" s="150"/>
      <c r="B10" s="151"/>
      <c r="C10" s="151"/>
      <c r="D10" s="151"/>
      <c r="E10" s="151"/>
      <c r="F10" s="151"/>
      <c r="G10" s="151"/>
      <c r="H10" s="151"/>
      <c r="I10" s="151"/>
      <c r="J10" s="26"/>
      <c r="K10" s="27"/>
      <c r="L10" s="27"/>
      <c r="M10" s="27"/>
      <c r="N10" s="27"/>
      <c r="O10" s="27"/>
      <c r="P10" s="130"/>
      <c r="Q10" s="27"/>
      <c r="R10" s="27"/>
      <c r="S10" s="27"/>
      <c r="T10" s="78"/>
      <c r="U10" s="79"/>
      <c r="V10" s="80"/>
      <c r="W10" s="81"/>
    </row>
    <row r="11" spans="1:23" ht="12.75" customHeight="1" thickBot="1" thickTop="1">
      <c r="A11" s="154" t="s">
        <v>130</v>
      </c>
      <c r="B11" s="155"/>
      <c r="C11" s="155"/>
      <c r="D11" s="155"/>
      <c r="E11" s="155"/>
      <c r="F11" s="155"/>
      <c r="G11" s="155"/>
      <c r="H11" s="155"/>
      <c r="I11" s="156"/>
      <c r="J11" s="157" t="s">
        <v>9</v>
      </c>
      <c r="K11" s="142" t="s">
        <v>159</v>
      </c>
      <c r="L11" s="159" t="s">
        <v>154</v>
      </c>
      <c r="M11" s="160"/>
      <c r="N11" s="89"/>
      <c r="O11" s="89"/>
      <c r="P11" s="131"/>
      <c r="Q11" s="124"/>
      <c r="R11" s="142" t="s">
        <v>131</v>
      </c>
      <c r="S11" s="142" t="s">
        <v>132</v>
      </c>
      <c r="T11" s="142" t="s">
        <v>133</v>
      </c>
      <c r="U11" s="142" t="s">
        <v>134</v>
      </c>
      <c r="V11" s="142" t="s">
        <v>135</v>
      </c>
      <c r="W11" s="152" t="s">
        <v>142</v>
      </c>
    </row>
    <row r="12" spans="1:24" ht="21" customHeight="1" thickBot="1" thickTop="1">
      <c r="A12" s="28" t="s">
        <v>0</v>
      </c>
      <c r="B12" s="28" t="s">
        <v>1</v>
      </c>
      <c r="C12" s="28" t="s">
        <v>2</v>
      </c>
      <c r="D12" s="28" t="s">
        <v>3</v>
      </c>
      <c r="E12" s="28" t="s">
        <v>4</v>
      </c>
      <c r="F12" s="28" t="s">
        <v>5</v>
      </c>
      <c r="G12" s="29" t="s">
        <v>6</v>
      </c>
      <c r="H12" s="61" t="s">
        <v>7</v>
      </c>
      <c r="I12" s="30" t="s">
        <v>8</v>
      </c>
      <c r="J12" s="158"/>
      <c r="K12" s="143"/>
      <c r="L12" s="31" t="s">
        <v>155</v>
      </c>
      <c r="M12" s="31" t="s">
        <v>156</v>
      </c>
      <c r="N12" s="90" t="s">
        <v>157</v>
      </c>
      <c r="O12" s="90" t="s">
        <v>158</v>
      </c>
      <c r="P12" s="132" t="s">
        <v>143</v>
      </c>
      <c r="Q12" s="125" t="s">
        <v>165</v>
      </c>
      <c r="R12" s="143"/>
      <c r="S12" s="143"/>
      <c r="T12" s="143"/>
      <c r="U12" s="143"/>
      <c r="V12" s="143"/>
      <c r="W12" s="153"/>
      <c r="X12" s="55"/>
    </row>
    <row r="13" spans="1:24" s="35" customFormat="1" ht="13.5" customHeight="1" thickBot="1" thickTop="1">
      <c r="A13" s="39" t="s">
        <v>10</v>
      </c>
      <c r="B13" s="40"/>
      <c r="C13" s="40"/>
      <c r="D13" s="40"/>
      <c r="E13" s="40"/>
      <c r="F13" s="40"/>
      <c r="G13" s="40"/>
      <c r="H13" s="62"/>
      <c r="I13" s="41"/>
      <c r="J13" s="40" t="s">
        <v>139</v>
      </c>
      <c r="K13" s="1">
        <f aca="true" t="shared" si="0" ref="K13:V13">K14+K54+K131</f>
        <v>46215266040</v>
      </c>
      <c r="L13" s="1">
        <f t="shared" si="0"/>
        <v>5279626874.02</v>
      </c>
      <c r="M13" s="1">
        <f>M14+M54+M131</f>
        <v>5279626874.02</v>
      </c>
      <c r="N13" s="1">
        <f t="shared" si="0"/>
        <v>460401287</v>
      </c>
      <c r="O13" s="1">
        <f t="shared" si="0"/>
        <v>1104000000</v>
      </c>
      <c r="P13" s="133">
        <f t="shared" si="0"/>
        <v>46858864753</v>
      </c>
      <c r="Q13" s="1">
        <f t="shared" si="0"/>
        <v>0</v>
      </c>
      <c r="R13" s="1">
        <f t="shared" si="0"/>
        <v>42822956507.04</v>
      </c>
      <c r="S13" s="1">
        <f t="shared" si="0"/>
        <v>42822956507.04</v>
      </c>
      <c r="T13" s="1">
        <f t="shared" si="0"/>
        <v>42821214585.04</v>
      </c>
      <c r="U13" s="1">
        <f t="shared" si="0"/>
        <v>41098130653.100006</v>
      </c>
      <c r="V13" s="1">
        <f t="shared" si="0"/>
        <v>41098130653.100006</v>
      </c>
      <c r="W13" s="82">
        <f aca="true" t="shared" si="1" ref="W13:W59">S13/P13</f>
        <v>0.9138709768741973</v>
      </c>
      <c r="X13" s="36"/>
    </row>
    <row r="14" spans="1:24" s="35" customFormat="1" ht="12" customHeight="1" thickTop="1">
      <c r="A14" s="39" t="s">
        <v>10</v>
      </c>
      <c r="B14" s="40" t="s">
        <v>11</v>
      </c>
      <c r="C14" s="40"/>
      <c r="D14" s="40"/>
      <c r="E14" s="40"/>
      <c r="F14" s="40"/>
      <c r="G14" s="40"/>
      <c r="H14" s="62"/>
      <c r="I14" s="41"/>
      <c r="J14" s="40" t="s">
        <v>99</v>
      </c>
      <c r="K14" s="1">
        <f aca="true" t="shared" si="2" ref="K14:V14">K15+K40+K43</f>
        <v>27042946820</v>
      </c>
      <c r="L14" s="1">
        <f t="shared" si="2"/>
        <v>2227745446</v>
      </c>
      <c r="M14" s="1">
        <f t="shared" si="2"/>
        <v>2227745446</v>
      </c>
      <c r="N14" s="1">
        <f t="shared" si="2"/>
        <v>0</v>
      </c>
      <c r="O14" s="1">
        <f t="shared" si="2"/>
        <v>1104000000</v>
      </c>
      <c r="P14" s="133">
        <f t="shared" si="2"/>
        <v>28146946820</v>
      </c>
      <c r="Q14" s="1">
        <f t="shared" si="2"/>
        <v>0</v>
      </c>
      <c r="R14" s="1">
        <f t="shared" si="2"/>
        <v>26570783505.33</v>
      </c>
      <c r="S14" s="1">
        <f>S15+S40+S43</f>
        <v>26570783505.33</v>
      </c>
      <c r="T14" s="1">
        <f t="shared" si="2"/>
        <v>26570783505.33</v>
      </c>
      <c r="U14" s="1">
        <f t="shared" si="2"/>
        <v>25835278207.33</v>
      </c>
      <c r="V14" s="1">
        <f t="shared" si="2"/>
        <v>25835278207.33</v>
      </c>
      <c r="W14" s="83">
        <f t="shared" si="1"/>
        <v>0.9440023344361441</v>
      </c>
      <c r="X14" s="36"/>
    </row>
    <row r="15" spans="1:24" s="35" customFormat="1" ht="33" customHeight="1">
      <c r="A15" s="42" t="s">
        <v>10</v>
      </c>
      <c r="B15" s="43" t="s">
        <v>11</v>
      </c>
      <c r="C15" s="43" t="s">
        <v>12</v>
      </c>
      <c r="D15" s="43" t="s">
        <v>11</v>
      </c>
      <c r="E15" s="44"/>
      <c r="F15" s="44"/>
      <c r="G15" s="44"/>
      <c r="H15" s="63"/>
      <c r="I15" s="45"/>
      <c r="J15" s="46" t="s">
        <v>98</v>
      </c>
      <c r="K15" s="2">
        <f aca="true" t="shared" si="3" ref="K15:V15">K16+K20+K23+K36</f>
        <v>16788301000</v>
      </c>
      <c r="L15" s="2">
        <f>L16+L20+L23+L36+L35</f>
        <v>1598819315</v>
      </c>
      <c r="M15" s="2">
        <f>M16+M20+M23+M36</f>
        <v>1896819315</v>
      </c>
      <c r="N15" s="2">
        <f t="shared" si="3"/>
        <v>0</v>
      </c>
      <c r="O15" s="2">
        <f>O16+O20+O23+O36+O35</f>
        <v>1104000000</v>
      </c>
      <c r="P15" s="134">
        <f>P16+P20+P23+P36+P35</f>
        <v>18190301000</v>
      </c>
      <c r="Q15" s="2">
        <f t="shared" si="3"/>
        <v>0</v>
      </c>
      <c r="R15" s="2">
        <f>R16+R20+R23+R36+R35</f>
        <v>16806608793</v>
      </c>
      <c r="S15" s="2">
        <f t="shared" si="3"/>
        <v>16806608793</v>
      </c>
      <c r="T15" s="2">
        <f t="shared" si="3"/>
        <v>16806608793</v>
      </c>
      <c r="U15" s="2">
        <f t="shared" si="3"/>
        <v>16458803437</v>
      </c>
      <c r="V15" s="2">
        <f t="shared" si="3"/>
        <v>16458803437</v>
      </c>
      <c r="W15" s="84">
        <f t="shared" si="1"/>
        <v>0.9239324183255682</v>
      </c>
      <c r="X15" s="36"/>
    </row>
    <row r="16" spans="1:24" s="35" customFormat="1" ht="12.75" customHeight="1">
      <c r="A16" s="42" t="s">
        <v>10</v>
      </c>
      <c r="B16" s="43" t="s">
        <v>11</v>
      </c>
      <c r="C16" s="43" t="s">
        <v>12</v>
      </c>
      <c r="D16" s="43" t="s">
        <v>11</v>
      </c>
      <c r="E16" s="44" t="s">
        <v>11</v>
      </c>
      <c r="F16" s="44"/>
      <c r="G16" s="44"/>
      <c r="H16" s="63"/>
      <c r="I16" s="45" t="s">
        <v>15</v>
      </c>
      <c r="J16" s="43" t="s">
        <v>97</v>
      </c>
      <c r="K16" s="2">
        <f aca="true" t="shared" si="4" ref="K16:V16">SUM(K17:K19)</f>
        <v>11208048000</v>
      </c>
      <c r="L16" s="2">
        <f t="shared" si="4"/>
        <v>23000000</v>
      </c>
      <c r="M16" s="2">
        <f>SUM(M17:M19)</f>
        <v>39800000</v>
      </c>
      <c r="N16" s="2">
        <f t="shared" si="4"/>
        <v>0</v>
      </c>
      <c r="O16" s="2">
        <f t="shared" si="4"/>
        <v>0</v>
      </c>
      <c r="P16" s="134">
        <f>SUM(P17:P19)</f>
        <v>11224848000</v>
      </c>
      <c r="Q16" s="2">
        <f>SUM(Q17:Q19)</f>
        <v>0</v>
      </c>
      <c r="R16" s="2">
        <f t="shared" si="4"/>
        <v>10696916617</v>
      </c>
      <c r="S16" s="2">
        <f t="shared" si="4"/>
        <v>10696916617</v>
      </c>
      <c r="T16" s="2">
        <f t="shared" si="4"/>
        <v>10696916617</v>
      </c>
      <c r="U16" s="2">
        <f t="shared" si="4"/>
        <v>10696916617</v>
      </c>
      <c r="V16" s="2">
        <f t="shared" si="4"/>
        <v>10696916617</v>
      </c>
      <c r="W16" s="85">
        <f t="shared" si="1"/>
        <v>0.9529676140826139</v>
      </c>
      <c r="X16" s="36"/>
    </row>
    <row r="17" spans="1:25" s="38" customFormat="1" ht="12.75" customHeight="1">
      <c r="A17" s="47" t="s">
        <v>10</v>
      </c>
      <c r="B17" s="48" t="s">
        <v>11</v>
      </c>
      <c r="C17" s="48" t="s">
        <v>12</v>
      </c>
      <c r="D17" s="48" t="s">
        <v>11</v>
      </c>
      <c r="E17" s="49" t="s">
        <v>11</v>
      </c>
      <c r="F17" s="49" t="s">
        <v>11</v>
      </c>
      <c r="G17" s="49" t="s">
        <v>13</v>
      </c>
      <c r="H17" s="64" t="s">
        <v>14</v>
      </c>
      <c r="I17" s="50" t="s">
        <v>15</v>
      </c>
      <c r="J17" s="48" t="s">
        <v>16</v>
      </c>
      <c r="K17" s="6">
        <v>10526066000</v>
      </c>
      <c r="L17" s="6">
        <f>6000000+10000000+7000000</f>
        <v>23000000</v>
      </c>
      <c r="M17" s="6"/>
      <c r="N17" s="6"/>
      <c r="O17" s="6"/>
      <c r="P17" s="94">
        <f>K17-L17+M17-Q17-N17+O17</f>
        <v>10503066000</v>
      </c>
      <c r="Q17" s="6"/>
      <c r="R17" s="6">
        <v>10105882448</v>
      </c>
      <c r="S17" s="6">
        <v>10105882448</v>
      </c>
      <c r="T17" s="94">
        <v>10105882448</v>
      </c>
      <c r="U17" s="94">
        <v>10105882448</v>
      </c>
      <c r="V17" s="6">
        <v>10105882448</v>
      </c>
      <c r="W17" s="86">
        <f t="shared" si="1"/>
        <v>0.9621840373087249</v>
      </c>
      <c r="X17" s="36"/>
      <c r="Y17" s="37"/>
    </row>
    <row r="18" spans="1:24" s="38" customFormat="1" ht="12.75" customHeight="1">
      <c r="A18" s="47" t="s">
        <v>10</v>
      </c>
      <c r="B18" s="48" t="s">
        <v>11</v>
      </c>
      <c r="C18" s="48" t="s">
        <v>12</v>
      </c>
      <c r="D18" s="48" t="s">
        <v>11</v>
      </c>
      <c r="E18" s="49" t="s">
        <v>11</v>
      </c>
      <c r="F18" s="49" t="s">
        <v>17</v>
      </c>
      <c r="G18" s="49" t="s">
        <v>13</v>
      </c>
      <c r="H18" s="64" t="s">
        <v>14</v>
      </c>
      <c r="I18" s="50" t="s">
        <v>15</v>
      </c>
      <c r="J18" s="48" t="s">
        <v>18</v>
      </c>
      <c r="K18" s="6">
        <v>595261000</v>
      </c>
      <c r="L18" s="6"/>
      <c r="M18" s="6"/>
      <c r="N18" s="6"/>
      <c r="O18" s="6"/>
      <c r="P18" s="94">
        <f>K18-L18+M18-Q18-N18+O18</f>
        <v>595261000</v>
      </c>
      <c r="Q18" s="6"/>
      <c r="R18" s="6">
        <v>543135463</v>
      </c>
      <c r="S18" s="6">
        <v>543135463</v>
      </c>
      <c r="T18" s="94">
        <v>543135463</v>
      </c>
      <c r="U18" s="94">
        <v>543135463</v>
      </c>
      <c r="V18" s="6">
        <v>543135463</v>
      </c>
      <c r="W18" s="86">
        <f t="shared" si="1"/>
        <v>0.9124324674386529</v>
      </c>
      <c r="X18" s="36"/>
    </row>
    <row r="19" spans="1:24" s="38" customFormat="1" ht="12.75" customHeight="1">
      <c r="A19" s="47" t="s">
        <v>10</v>
      </c>
      <c r="B19" s="48" t="s">
        <v>11</v>
      </c>
      <c r="C19" s="48" t="s">
        <v>12</v>
      </c>
      <c r="D19" s="48" t="s">
        <v>11</v>
      </c>
      <c r="E19" s="49" t="s">
        <v>11</v>
      </c>
      <c r="F19" s="49" t="s">
        <v>19</v>
      </c>
      <c r="G19" s="49" t="s">
        <v>13</v>
      </c>
      <c r="H19" s="64" t="s">
        <v>14</v>
      </c>
      <c r="I19" s="50" t="s">
        <v>15</v>
      </c>
      <c r="J19" s="48" t="s">
        <v>20</v>
      </c>
      <c r="K19" s="6">
        <v>86721000</v>
      </c>
      <c r="L19" s="6"/>
      <c r="M19" s="6">
        <f>6000000+10000000+7000000+16800000</f>
        <v>39800000</v>
      </c>
      <c r="N19" s="6"/>
      <c r="O19" s="6"/>
      <c r="P19" s="94">
        <f>K19-L19+M19-Q19-N19+O19</f>
        <v>126521000</v>
      </c>
      <c r="Q19" s="6"/>
      <c r="R19" s="6">
        <v>47898706</v>
      </c>
      <c r="S19" s="6">
        <v>47898706</v>
      </c>
      <c r="T19" s="6">
        <v>47898706</v>
      </c>
      <c r="U19" s="6">
        <v>47898706</v>
      </c>
      <c r="V19" s="6">
        <v>47898706</v>
      </c>
      <c r="W19" s="86">
        <f t="shared" si="1"/>
        <v>0.3785830494542408</v>
      </c>
      <c r="X19" s="36"/>
    </row>
    <row r="20" spans="1:24" s="35" customFormat="1" ht="11.25" customHeight="1">
      <c r="A20" s="42" t="s">
        <v>10</v>
      </c>
      <c r="B20" s="43" t="s">
        <v>11</v>
      </c>
      <c r="C20" s="43" t="s">
        <v>12</v>
      </c>
      <c r="D20" s="43" t="s">
        <v>11</v>
      </c>
      <c r="E20" s="44" t="s">
        <v>19</v>
      </c>
      <c r="F20" s="44"/>
      <c r="G20" s="44"/>
      <c r="H20" s="63"/>
      <c r="I20" s="45" t="s">
        <v>15</v>
      </c>
      <c r="J20" s="43" t="s">
        <v>100</v>
      </c>
      <c r="K20" s="4">
        <f aca="true" t="shared" si="5" ref="K20:V20">SUM(K21:K22)</f>
        <v>537605000</v>
      </c>
      <c r="L20" s="4">
        <f>SUM(L21:L22)</f>
        <v>10000000</v>
      </c>
      <c r="M20" s="4">
        <f>SUM(M21:M22)</f>
        <v>48500000</v>
      </c>
      <c r="N20" s="4">
        <f t="shared" si="5"/>
        <v>0</v>
      </c>
      <c r="O20" s="4">
        <f t="shared" si="5"/>
        <v>0</v>
      </c>
      <c r="P20" s="100">
        <f t="shared" si="5"/>
        <v>576105000</v>
      </c>
      <c r="Q20" s="4">
        <f>SUM(Q21:Q22)</f>
        <v>0</v>
      </c>
      <c r="R20" s="4">
        <f t="shared" si="5"/>
        <v>459377001</v>
      </c>
      <c r="S20" s="4">
        <f t="shared" si="5"/>
        <v>459377001</v>
      </c>
      <c r="T20" s="4">
        <f t="shared" si="5"/>
        <v>459377001</v>
      </c>
      <c r="U20" s="4">
        <f t="shared" si="5"/>
        <v>459377001</v>
      </c>
      <c r="V20" s="4">
        <f t="shared" si="5"/>
        <v>459377001</v>
      </c>
      <c r="W20" s="87">
        <f t="shared" si="1"/>
        <v>0.7973841591376571</v>
      </c>
      <c r="X20" s="36"/>
    </row>
    <row r="21" spans="1:24" s="38" customFormat="1" ht="12.75" customHeight="1">
      <c r="A21" s="47" t="s">
        <v>10</v>
      </c>
      <c r="B21" s="48" t="s">
        <v>11</v>
      </c>
      <c r="C21" s="48" t="s">
        <v>12</v>
      </c>
      <c r="D21" s="48" t="s">
        <v>11</v>
      </c>
      <c r="E21" s="49" t="s">
        <v>19</v>
      </c>
      <c r="F21" s="54">
        <v>1</v>
      </c>
      <c r="G21" s="49" t="s">
        <v>13</v>
      </c>
      <c r="H21" s="64" t="s">
        <v>14</v>
      </c>
      <c r="I21" s="50" t="s">
        <v>15</v>
      </c>
      <c r="J21" s="48" t="s">
        <v>161</v>
      </c>
      <c r="K21" s="6">
        <v>138318275</v>
      </c>
      <c r="L21" s="6">
        <v>10000000</v>
      </c>
      <c r="M21" s="6"/>
      <c r="N21" s="6"/>
      <c r="O21" s="6"/>
      <c r="P21" s="94">
        <f>K21-L21+M21-Q21-N21+O21</f>
        <v>128318275</v>
      </c>
      <c r="Q21" s="94"/>
      <c r="R21" s="6">
        <v>49280351</v>
      </c>
      <c r="S21" s="6">
        <v>49280351</v>
      </c>
      <c r="T21" s="6">
        <v>49280351</v>
      </c>
      <c r="U21" s="6">
        <v>49280351</v>
      </c>
      <c r="V21" s="6">
        <v>49280351</v>
      </c>
      <c r="W21" s="86">
        <f t="shared" si="1"/>
        <v>0.3840477983358177</v>
      </c>
      <c r="X21" s="36"/>
    </row>
    <row r="22" spans="1:24" s="38" customFormat="1" ht="11.25" customHeight="1">
      <c r="A22" s="47" t="s">
        <v>10</v>
      </c>
      <c r="B22" s="48" t="s">
        <v>11</v>
      </c>
      <c r="C22" s="48" t="s">
        <v>12</v>
      </c>
      <c r="D22" s="48" t="s">
        <v>11</v>
      </c>
      <c r="E22" s="49" t="s">
        <v>19</v>
      </c>
      <c r="F22" s="49" t="s">
        <v>17</v>
      </c>
      <c r="G22" s="49" t="s">
        <v>13</v>
      </c>
      <c r="H22" s="64" t="s">
        <v>14</v>
      </c>
      <c r="I22" s="50" t="s">
        <v>15</v>
      </c>
      <c r="J22" s="48" t="s">
        <v>21</v>
      </c>
      <c r="K22" s="6">
        <v>399286725</v>
      </c>
      <c r="L22" s="6"/>
      <c r="M22" s="6">
        <f>10000000+38500000</f>
        <v>48500000</v>
      </c>
      <c r="N22" s="6"/>
      <c r="O22" s="6"/>
      <c r="P22" s="94">
        <f>K22-L22+M22-Q22-N22+O22</f>
        <v>447786725</v>
      </c>
      <c r="Q22" s="6"/>
      <c r="R22" s="6">
        <v>410096650</v>
      </c>
      <c r="S22" s="6">
        <v>410096650</v>
      </c>
      <c r="T22" s="6">
        <v>410096650</v>
      </c>
      <c r="U22" s="6">
        <v>410096650</v>
      </c>
      <c r="V22" s="6">
        <v>410096650</v>
      </c>
      <c r="W22" s="86">
        <f t="shared" si="1"/>
        <v>0.9158302984529074</v>
      </c>
      <c r="X22" s="36"/>
    </row>
    <row r="23" spans="1:24" s="35" customFormat="1" ht="12.75" customHeight="1">
      <c r="A23" s="42" t="s">
        <v>10</v>
      </c>
      <c r="B23" s="43" t="s">
        <v>11</v>
      </c>
      <c r="C23" s="43" t="s">
        <v>12</v>
      </c>
      <c r="D23" s="43" t="s">
        <v>11</v>
      </c>
      <c r="E23" s="44" t="s">
        <v>22</v>
      </c>
      <c r="F23" s="44"/>
      <c r="G23" s="44"/>
      <c r="H23" s="63"/>
      <c r="I23" s="45" t="s">
        <v>15</v>
      </c>
      <c r="J23" s="43" t="s">
        <v>101</v>
      </c>
      <c r="K23" s="4">
        <f>SUM(K24:K34)</f>
        <v>3892083000</v>
      </c>
      <c r="L23" s="4">
        <f aca="true" t="shared" si="6" ref="L23:V23">SUM(L24:L34)</f>
        <v>45100000</v>
      </c>
      <c r="M23" s="4">
        <f t="shared" si="6"/>
        <v>114100000</v>
      </c>
      <c r="N23" s="4">
        <f t="shared" si="6"/>
        <v>0</v>
      </c>
      <c r="O23" s="4">
        <v>0</v>
      </c>
      <c r="P23" s="100">
        <f>SUM(P24:P34)</f>
        <v>3961083000</v>
      </c>
      <c r="Q23" s="4">
        <f>SUM(Q24:Q34)</f>
        <v>0</v>
      </c>
      <c r="R23" s="4">
        <f t="shared" si="6"/>
        <v>3653151503</v>
      </c>
      <c r="S23" s="4">
        <f t="shared" si="6"/>
        <v>3653151503</v>
      </c>
      <c r="T23" s="4">
        <f t="shared" si="6"/>
        <v>3653151503</v>
      </c>
      <c r="U23" s="4">
        <f t="shared" si="6"/>
        <v>3653151503</v>
      </c>
      <c r="V23" s="4">
        <f t="shared" si="6"/>
        <v>3653151503</v>
      </c>
      <c r="W23" s="87">
        <f t="shared" si="1"/>
        <v>0.9222607814580003</v>
      </c>
      <c r="X23" s="36"/>
    </row>
    <row r="24" spans="1:24" s="38" customFormat="1" ht="12.75" customHeight="1">
      <c r="A24" s="47" t="s">
        <v>10</v>
      </c>
      <c r="B24" s="48" t="s">
        <v>11</v>
      </c>
      <c r="C24" s="48" t="s">
        <v>12</v>
      </c>
      <c r="D24" s="48" t="s">
        <v>11</v>
      </c>
      <c r="E24" s="49" t="s">
        <v>22</v>
      </c>
      <c r="F24" s="49" t="s">
        <v>17</v>
      </c>
      <c r="G24" s="49" t="s">
        <v>13</v>
      </c>
      <c r="H24" s="64" t="s">
        <v>14</v>
      </c>
      <c r="I24" s="50" t="s">
        <v>15</v>
      </c>
      <c r="J24" s="48" t="s">
        <v>23</v>
      </c>
      <c r="K24" s="6">
        <v>386279000</v>
      </c>
      <c r="L24" s="6">
        <v>8100000</v>
      </c>
      <c r="M24" s="6"/>
      <c r="N24" s="6"/>
      <c r="O24" s="6"/>
      <c r="P24" s="94">
        <f aca="true" t="shared" si="7" ref="P24:P35">K24-L24+M24-Q24-N24+O24</f>
        <v>378179000</v>
      </c>
      <c r="Q24" s="6"/>
      <c r="R24" s="6">
        <v>358446611</v>
      </c>
      <c r="S24" s="6">
        <v>358446611</v>
      </c>
      <c r="T24" s="6">
        <v>358446611</v>
      </c>
      <c r="U24" s="6">
        <v>358446611</v>
      </c>
      <c r="V24" s="6">
        <v>358446611</v>
      </c>
      <c r="W24" s="86">
        <f t="shared" si="1"/>
        <v>0.9478226210339549</v>
      </c>
      <c r="X24" s="36"/>
    </row>
    <row r="25" spans="1:24" s="38" customFormat="1" ht="12.75" customHeight="1">
      <c r="A25" s="47" t="s">
        <v>10</v>
      </c>
      <c r="B25" s="48" t="s">
        <v>11</v>
      </c>
      <c r="C25" s="48" t="s">
        <v>12</v>
      </c>
      <c r="D25" s="48" t="s">
        <v>11</v>
      </c>
      <c r="E25" s="49" t="s">
        <v>22</v>
      </c>
      <c r="F25" s="49" t="s">
        <v>22</v>
      </c>
      <c r="G25" s="49" t="s">
        <v>13</v>
      </c>
      <c r="H25" s="64" t="s">
        <v>14</v>
      </c>
      <c r="I25" s="50" t="s">
        <v>15</v>
      </c>
      <c r="J25" s="48" t="s">
        <v>24</v>
      </c>
      <c r="K25" s="6">
        <v>57953000</v>
      </c>
      <c r="L25" s="6"/>
      <c r="M25" s="6">
        <v>8000000</v>
      </c>
      <c r="N25" s="6"/>
      <c r="O25" s="6"/>
      <c r="P25" s="94">
        <f t="shared" si="7"/>
        <v>65953000</v>
      </c>
      <c r="Q25" s="6"/>
      <c r="R25" s="6">
        <v>62232578</v>
      </c>
      <c r="S25" s="6">
        <v>62232578</v>
      </c>
      <c r="T25" s="6">
        <v>62232578</v>
      </c>
      <c r="U25" s="6">
        <v>62232578</v>
      </c>
      <c r="V25" s="6">
        <v>62232578</v>
      </c>
      <c r="W25" s="86">
        <f t="shared" si="1"/>
        <v>0.9435897987961124</v>
      </c>
      <c r="X25" s="36"/>
    </row>
    <row r="26" spans="1:24" s="38" customFormat="1" ht="12.75" customHeight="1">
      <c r="A26" s="47" t="s">
        <v>10</v>
      </c>
      <c r="B26" s="48" t="s">
        <v>11</v>
      </c>
      <c r="C26" s="48" t="s">
        <v>12</v>
      </c>
      <c r="D26" s="48" t="s">
        <v>11</v>
      </c>
      <c r="E26" s="49" t="s">
        <v>22</v>
      </c>
      <c r="F26" s="49" t="s">
        <v>25</v>
      </c>
      <c r="G26" s="49" t="s">
        <v>13</v>
      </c>
      <c r="H26" s="64" t="s">
        <v>14</v>
      </c>
      <c r="I26" s="50" t="s">
        <v>15</v>
      </c>
      <c r="J26" s="48" t="s">
        <v>26</v>
      </c>
      <c r="K26" s="6">
        <v>130844000</v>
      </c>
      <c r="L26" s="6"/>
      <c r="M26" s="6"/>
      <c r="N26" s="6"/>
      <c r="O26" s="6"/>
      <c r="P26" s="94">
        <f t="shared" si="7"/>
        <v>130844000</v>
      </c>
      <c r="Q26" s="6"/>
      <c r="R26" s="6">
        <v>124677884</v>
      </c>
      <c r="S26" s="6">
        <v>124677884</v>
      </c>
      <c r="T26" s="6">
        <v>124677884</v>
      </c>
      <c r="U26" s="6">
        <v>124677884</v>
      </c>
      <c r="V26" s="6">
        <v>124677884</v>
      </c>
      <c r="W26" s="86">
        <f t="shared" si="1"/>
        <v>0.9528742930512671</v>
      </c>
      <c r="X26" s="36"/>
    </row>
    <row r="27" spans="1:24" s="38" customFormat="1" ht="12.75" customHeight="1">
      <c r="A27" s="47" t="s">
        <v>10</v>
      </c>
      <c r="B27" s="48" t="s">
        <v>11</v>
      </c>
      <c r="C27" s="48" t="s">
        <v>12</v>
      </c>
      <c r="D27" s="48" t="s">
        <v>11</v>
      </c>
      <c r="E27" s="49" t="s">
        <v>22</v>
      </c>
      <c r="F27" s="49" t="s">
        <v>27</v>
      </c>
      <c r="G27" s="49" t="s">
        <v>13</v>
      </c>
      <c r="H27" s="64" t="s">
        <v>14</v>
      </c>
      <c r="I27" s="50" t="s">
        <v>15</v>
      </c>
      <c r="J27" s="48" t="s">
        <v>28</v>
      </c>
      <c r="K27" s="6">
        <v>104863000</v>
      </c>
      <c r="L27" s="6"/>
      <c r="M27" s="6"/>
      <c r="N27" s="6"/>
      <c r="O27" s="6"/>
      <c r="P27" s="94">
        <f t="shared" si="7"/>
        <v>104863000</v>
      </c>
      <c r="Q27" s="6"/>
      <c r="R27" s="6">
        <v>99523340</v>
      </c>
      <c r="S27" s="6">
        <v>99523340</v>
      </c>
      <c r="T27" s="6">
        <v>99523340</v>
      </c>
      <c r="U27" s="6">
        <v>99523340</v>
      </c>
      <c r="V27" s="6">
        <v>99523340</v>
      </c>
      <c r="W27" s="86">
        <f t="shared" si="1"/>
        <v>0.9490796563134757</v>
      </c>
      <c r="X27" s="36"/>
    </row>
    <row r="28" spans="1:24" s="38" customFormat="1" ht="12.75" customHeight="1">
      <c r="A28" s="47" t="s">
        <v>10</v>
      </c>
      <c r="B28" s="48" t="s">
        <v>11</v>
      </c>
      <c r="C28" s="48" t="s">
        <v>12</v>
      </c>
      <c r="D28" s="48" t="s">
        <v>11</v>
      </c>
      <c r="E28" s="49" t="s">
        <v>22</v>
      </c>
      <c r="F28" s="49" t="s">
        <v>29</v>
      </c>
      <c r="G28" s="49" t="s">
        <v>13</v>
      </c>
      <c r="H28" s="64" t="s">
        <v>14</v>
      </c>
      <c r="I28" s="50" t="s">
        <v>15</v>
      </c>
      <c r="J28" s="48" t="s">
        <v>30</v>
      </c>
      <c r="K28" s="6">
        <v>520313000</v>
      </c>
      <c r="L28" s="6"/>
      <c r="M28" s="6"/>
      <c r="N28" s="6"/>
      <c r="O28" s="6"/>
      <c r="P28" s="94">
        <f t="shared" si="7"/>
        <v>520313000</v>
      </c>
      <c r="Q28" s="6"/>
      <c r="R28" s="6">
        <v>476792687</v>
      </c>
      <c r="S28" s="6">
        <v>476792687</v>
      </c>
      <c r="T28" s="6">
        <v>476792687</v>
      </c>
      <c r="U28" s="6">
        <v>476792687</v>
      </c>
      <c r="V28" s="6">
        <v>476792687</v>
      </c>
      <c r="W28" s="86">
        <f t="shared" si="1"/>
        <v>0.9163574367736343</v>
      </c>
      <c r="X28" s="36"/>
    </row>
    <row r="29" spans="1:24" s="38" customFormat="1" ht="12.75" customHeight="1">
      <c r="A29" s="47" t="s">
        <v>10</v>
      </c>
      <c r="B29" s="48" t="s">
        <v>11</v>
      </c>
      <c r="C29" s="48" t="s">
        <v>12</v>
      </c>
      <c r="D29" s="48" t="s">
        <v>11</v>
      </c>
      <c r="E29" s="49" t="s">
        <v>22</v>
      </c>
      <c r="F29" s="49" t="s">
        <v>31</v>
      </c>
      <c r="G29" s="49" t="s">
        <v>13</v>
      </c>
      <c r="H29" s="64" t="s">
        <v>14</v>
      </c>
      <c r="I29" s="50" t="s">
        <v>15</v>
      </c>
      <c r="J29" s="48" t="s">
        <v>32</v>
      </c>
      <c r="K29" s="6">
        <v>657670000</v>
      </c>
      <c r="L29" s="6"/>
      <c r="M29" s="6">
        <v>39000000</v>
      </c>
      <c r="N29" s="6"/>
      <c r="O29" s="6"/>
      <c r="P29" s="94">
        <f t="shared" si="7"/>
        <v>696670000</v>
      </c>
      <c r="Q29" s="6"/>
      <c r="R29" s="6">
        <v>673517157</v>
      </c>
      <c r="S29" s="6">
        <v>673517157</v>
      </c>
      <c r="T29" s="6">
        <v>673517157</v>
      </c>
      <c r="U29" s="6">
        <v>673517157</v>
      </c>
      <c r="V29" s="6">
        <v>673517157</v>
      </c>
      <c r="W29" s="86">
        <f t="shared" si="1"/>
        <v>0.9667664130793633</v>
      </c>
      <c r="X29" s="36"/>
    </row>
    <row r="30" spans="1:24" s="38" customFormat="1" ht="12.75" customHeight="1">
      <c r="A30" s="47" t="s">
        <v>10</v>
      </c>
      <c r="B30" s="48" t="s">
        <v>11</v>
      </c>
      <c r="C30" s="48" t="s">
        <v>12</v>
      </c>
      <c r="D30" s="48" t="s">
        <v>11</v>
      </c>
      <c r="E30" s="49" t="s">
        <v>22</v>
      </c>
      <c r="F30" s="49" t="s">
        <v>33</v>
      </c>
      <c r="G30" s="49" t="s">
        <v>13</v>
      </c>
      <c r="H30" s="64" t="s">
        <v>14</v>
      </c>
      <c r="I30" s="50" t="s">
        <v>15</v>
      </c>
      <c r="J30" s="48" t="s">
        <v>34</v>
      </c>
      <c r="K30" s="6">
        <v>1191314000</v>
      </c>
      <c r="L30" s="6"/>
      <c r="M30" s="6">
        <v>12000000</v>
      </c>
      <c r="N30" s="6"/>
      <c r="O30" s="6"/>
      <c r="P30" s="94">
        <f t="shared" si="7"/>
        <v>1203314000</v>
      </c>
      <c r="Q30" s="6"/>
      <c r="R30" s="6">
        <v>1090239884</v>
      </c>
      <c r="S30" s="6">
        <v>1090239884</v>
      </c>
      <c r="T30" s="6">
        <v>1090239884</v>
      </c>
      <c r="U30" s="6">
        <v>1090239884</v>
      </c>
      <c r="V30" s="6">
        <v>1090239884</v>
      </c>
      <c r="W30" s="86">
        <f t="shared" si="1"/>
        <v>0.9060310808317696</v>
      </c>
      <c r="X30" s="36"/>
    </row>
    <row r="31" spans="1:24" s="38" customFormat="1" ht="12.75" customHeight="1">
      <c r="A31" s="47" t="s">
        <v>10</v>
      </c>
      <c r="B31" s="48" t="s">
        <v>11</v>
      </c>
      <c r="C31" s="48" t="s">
        <v>12</v>
      </c>
      <c r="D31" s="48" t="s">
        <v>11</v>
      </c>
      <c r="E31" s="49" t="s">
        <v>22</v>
      </c>
      <c r="F31" s="49" t="s">
        <v>35</v>
      </c>
      <c r="G31" s="49" t="s">
        <v>13</v>
      </c>
      <c r="H31" s="64" t="s">
        <v>14</v>
      </c>
      <c r="I31" s="50" t="s">
        <v>15</v>
      </c>
      <c r="J31" s="48" t="s">
        <v>36</v>
      </c>
      <c r="K31" s="6">
        <v>44985000</v>
      </c>
      <c r="L31" s="6"/>
      <c r="M31" s="6">
        <f>15000000+8100000+12000000+10000000+10000000</f>
        <v>55100000</v>
      </c>
      <c r="N31" s="6"/>
      <c r="O31" s="6"/>
      <c r="P31" s="94">
        <f t="shared" si="7"/>
        <v>100085000</v>
      </c>
      <c r="Q31" s="6"/>
      <c r="R31" s="6">
        <v>88339517</v>
      </c>
      <c r="S31" s="6">
        <v>88339517</v>
      </c>
      <c r="T31" s="6">
        <v>88339517</v>
      </c>
      <c r="U31" s="6">
        <v>88339517</v>
      </c>
      <c r="V31" s="6">
        <v>88339517</v>
      </c>
      <c r="W31" s="86">
        <f t="shared" si="1"/>
        <v>0.882644921816456</v>
      </c>
      <c r="X31" s="36"/>
    </row>
    <row r="32" spans="1:24" s="38" customFormat="1" ht="12.75" customHeight="1">
      <c r="A32" s="47" t="s">
        <v>10</v>
      </c>
      <c r="B32" s="48" t="s">
        <v>11</v>
      </c>
      <c r="C32" s="48" t="s">
        <v>12</v>
      </c>
      <c r="D32" s="48" t="s">
        <v>11</v>
      </c>
      <c r="E32" s="49" t="s">
        <v>22</v>
      </c>
      <c r="F32" s="49" t="s">
        <v>37</v>
      </c>
      <c r="G32" s="49" t="s">
        <v>13</v>
      </c>
      <c r="H32" s="64" t="s">
        <v>14</v>
      </c>
      <c r="I32" s="50" t="s">
        <v>15</v>
      </c>
      <c r="J32" s="48" t="s">
        <v>38</v>
      </c>
      <c r="K32" s="6">
        <v>470057000</v>
      </c>
      <c r="L32" s="6">
        <f>15000000+12000000+10000000</f>
        <v>37000000</v>
      </c>
      <c r="M32" s="6"/>
      <c r="N32" s="6"/>
      <c r="O32" s="6"/>
      <c r="P32" s="94">
        <f t="shared" si="7"/>
        <v>433057000</v>
      </c>
      <c r="Q32" s="6"/>
      <c r="R32" s="6">
        <v>380158266</v>
      </c>
      <c r="S32" s="6">
        <v>380158266</v>
      </c>
      <c r="T32" s="6">
        <v>380158266</v>
      </c>
      <c r="U32" s="6">
        <v>380158266</v>
      </c>
      <c r="V32" s="6">
        <v>380158266</v>
      </c>
      <c r="W32" s="86">
        <f t="shared" si="1"/>
        <v>0.8778481031365386</v>
      </c>
      <c r="X32" s="36"/>
    </row>
    <row r="33" spans="1:24" s="38" customFormat="1" ht="12.75" customHeight="1">
      <c r="A33" s="47" t="s">
        <v>10</v>
      </c>
      <c r="B33" s="48" t="s">
        <v>11</v>
      </c>
      <c r="C33" s="48" t="s">
        <v>12</v>
      </c>
      <c r="D33" s="48" t="s">
        <v>11</v>
      </c>
      <c r="E33" s="49" t="s">
        <v>22</v>
      </c>
      <c r="F33" s="49" t="s">
        <v>39</v>
      </c>
      <c r="G33" s="49" t="s">
        <v>13</v>
      </c>
      <c r="H33" s="64" t="s">
        <v>14</v>
      </c>
      <c r="I33" s="50" t="s">
        <v>15</v>
      </c>
      <c r="J33" s="48" t="s">
        <v>40</v>
      </c>
      <c r="K33" s="6">
        <v>275609000</v>
      </c>
      <c r="L33" s="6"/>
      <c r="M33" s="6"/>
      <c r="N33" s="6"/>
      <c r="O33" s="6"/>
      <c r="P33" s="94">
        <f t="shared" si="7"/>
        <v>275609000</v>
      </c>
      <c r="Q33" s="6"/>
      <c r="R33" s="6">
        <v>247355923</v>
      </c>
      <c r="S33" s="6">
        <v>247355923</v>
      </c>
      <c r="T33" s="6">
        <v>247355923</v>
      </c>
      <c r="U33" s="6">
        <v>247355923</v>
      </c>
      <c r="V33" s="6">
        <v>247355923</v>
      </c>
      <c r="W33" s="86">
        <f t="shared" si="1"/>
        <v>0.8974885544376272</v>
      </c>
      <c r="X33" s="36"/>
    </row>
    <row r="34" spans="1:24" s="38" customFormat="1" ht="12.75" customHeight="1">
      <c r="A34" s="47" t="s">
        <v>10</v>
      </c>
      <c r="B34" s="48" t="s">
        <v>11</v>
      </c>
      <c r="C34" s="48" t="s">
        <v>12</v>
      </c>
      <c r="D34" s="48" t="s">
        <v>11</v>
      </c>
      <c r="E34" s="49" t="s">
        <v>22</v>
      </c>
      <c r="F34" s="49" t="s">
        <v>41</v>
      </c>
      <c r="G34" s="49" t="s">
        <v>13</v>
      </c>
      <c r="H34" s="64" t="s">
        <v>14</v>
      </c>
      <c r="I34" s="50" t="s">
        <v>15</v>
      </c>
      <c r="J34" s="48" t="s">
        <v>42</v>
      </c>
      <c r="K34" s="6">
        <v>52196000</v>
      </c>
      <c r="L34" s="6"/>
      <c r="M34" s="6"/>
      <c r="N34" s="6"/>
      <c r="O34" s="6"/>
      <c r="P34" s="94">
        <f t="shared" si="7"/>
        <v>52196000</v>
      </c>
      <c r="Q34" s="6"/>
      <c r="R34" s="6">
        <v>51867656</v>
      </c>
      <c r="S34" s="6">
        <v>51867656</v>
      </c>
      <c r="T34" s="6">
        <v>51867656</v>
      </c>
      <c r="U34" s="6">
        <v>51867656</v>
      </c>
      <c r="V34" s="6">
        <v>51867656</v>
      </c>
      <c r="W34" s="86">
        <f t="shared" si="1"/>
        <v>0.9937094030193885</v>
      </c>
      <c r="X34" s="36"/>
    </row>
    <row r="35" spans="1:24" s="38" customFormat="1" ht="36.75" customHeight="1">
      <c r="A35" s="42" t="s">
        <v>10</v>
      </c>
      <c r="B35" s="43" t="s">
        <v>11</v>
      </c>
      <c r="C35" s="43" t="s">
        <v>12</v>
      </c>
      <c r="D35" s="43" t="s">
        <v>11</v>
      </c>
      <c r="E35" s="138">
        <v>8</v>
      </c>
      <c r="F35" s="49"/>
      <c r="G35" s="49" t="s">
        <v>13</v>
      </c>
      <c r="H35" s="64" t="s">
        <v>14</v>
      </c>
      <c r="I35" s="50" t="s">
        <v>15</v>
      </c>
      <c r="J35" s="46" t="s">
        <v>180</v>
      </c>
      <c r="K35" s="6"/>
      <c r="L35" s="2">
        <v>1104000000</v>
      </c>
      <c r="M35" s="6"/>
      <c r="N35" s="6"/>
      <c r="O35" s="2">
        <v>1104000000</v>
      </c>
      <c r="P35" s="134">
        <f t="shared" si="7"/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86" t="e">
        <f t="shared" si="1"/>
        <v>#DIV/0!</v>
      </c>
      <c r="X35" s="36"/>
    </row>
    <row r="36" spans="1:24" s="35" customFormat="1" ht="36" customHeight="1">
      <c r="A36" s="42" t="s">
        <v>10</v>
      </c>
      <c r="B36" s="43" t="s">
        <v>11</v>
      </c>
      <c r="C36" s="43" t="s">
        <v>12</v>
      </c>
      <c r="D36" s="43" t="s">
        <v>11</v>
      </c>
      <c r="E36" s="44" t="s">
        <v>43</v>
      </c>
      <c r="F36" s="44"/>
      <c r="G36" s="44"/>
      <c r="H36" s="63"/>
      <c r="I36" s="45" t="s">
        <v>15</v>
      </c>
      <c r="J36" s="46" t="s">
        <v>102</v>
      </c>
      <c r="K36" s="4">
        <f aca="true" t="shared" si="8" ref="K36:V36">SUM(K37:K39)</f>
        <v>1150565000</v>
      </c>
      <c r="L36" s="4">
        <f>SUM(L37:L39)</f>
        <v>416719315</v>
      </c>
      <c r="M36" s="4">
        <f>SUM(M37:M39)</f>
        <v>1694419315</v>
      </c>
      <c r="N36" s="4">
        <f t="shared" si="8"/>
        <v>0</v>
      </c>
      <c r="O36" s="4">
        <f t="shared" si="8"/>
        <v>0</v>
      </c>
      <c r="P36" s="100">
        <f t="shared" si="8"/>
        <v>2428265000</v>
      </c>
      <c r="Q36" s="4">
        <f>SUM(Q37:Q39)</f>
        <v>0</v>
      </c>
      <c r="R36" s="4">
        <f t="shared" si="8"/>
        <v>1997163672</v>
      </c>
      <c r="S36" s="4">
        <f t="shared" si="8"/>
        <v>1997163672</v>
      </c>
      <c r="T36" s="4">
        <f t="shared" si="8"/>
        <v>1997163672</v>
      </c>
      <c r="U36" s="4">
        <f t="shared" si="8"/>
        <v>1649358316</v>
      </c>
      <c r="V36" s="4">
        <f t="shared" si="8"/>
        <v>1649358316</v>
      </c>
      <c r="W36" s="87">
        <f t="shared" si="1"/>
        <v>0.8224652877671919</v>
      </c>
      <c r="X36" s="36"/>
    </row>
    <row r="37" spans="1:24" s="38" customFormat="1" ht="12.75" customHeight="1">
      <c r="A37" s="47" t="s">
        <v>10</v>
      </c>
      <c r="B37" s="48" t="s">
        <v>11</v>
      </c>
      <c r="C37" s="48" t="s">
        <v>12</v>
      </c>
      <c r="D37" s="48" t="s">
        <v>11</v>
      </c>
      <c r="E37" s="49" t="s">
        <v>43</v>
      </c>
      <c r="F37" s="49" t="s">
        <v>11</v>
      </c>
      <c r="G37" s="49" t="s">
        <v>13</v>
      </c>
      <c r="H37" s="64" t="s">
        <v>14</v>
      </c>
      <c r="I37" s="50" t="s">
        <v>15</v>
      </c>
      <c r="J37" s="48" t="s">
        <v>44</v>
      </c>
      <c r="K37" s="6">
        <v>274506000</v>
      </c>
      <c r="L37" s="6">
        <f>10212069+130000000</f>
        <v>140212069</v>
      </c>
      <c r="M37" s="6">
        <f>100000000+8000000+57507246+1000000+69600000+6500000+915700000</f>
        <v>1158307246</v>
      </c>
      <c r="N37" s="6"/>
      <c r="O37" s="6"/>
      <c r="P37" s="94">
        <f>K37-L37+M37-Q37-N37+O37</f>
        <v>1292601177</v>
      </c>
      <c r="Q37" s="6"/>
      <c r="R37" s="6">
        <v>926085084</v>
      </c>
      <c r="S37" s="6">
        <v>926085084</v>
      </c>
      <c r="T37" s="6">
        <v>926085084</v>
      </c>
      <c r="U37" s="6">
        <v>578279728</v>
      </c>
      <c r="V37" s="6">
        <v>578279728</v>
      </c>
      <c r="W37" s="86">
        <f t="shared" si="1"/>
        <v>0.7164507509960282</v>
      </c>
      <c r="X37" s="36"/>
    </row>
    <row r="38" spans="1:24" s="38" customFormat="1" ht="12.75" customHeight="1">
      <c r="A38" s="47" t="s">
        <v>10</v>
      </c>
      <c r="B38" s="48" t="s">
        <v>11</v>
      </c>
      <c r="C38" s="48" t="s">
        <v>12</v>
      </c>
      <c r="D38" s="48" t="s">
        <v>11</v>
      </c>
      <c r="E38" s="49" t="s">
        <v>43</v>
      </c>
      <c r="F38" s="49" t="s">
        <v>17</v>
      </c>
      <c r="G38" s="49" t="s">
        <v>13</v>
      </c>
      <c r="H38" s="64" t="s">
        <v>14</v>
      </c>
      <c r="I38" s="50" t="s">
        <v>15</v>
      </c>
      <c r="J38" s="48" t="s">
        <v>45</v>
      </c>
      <c r="K38" s="6">
        <v>484769000</v>
      </c>
      <c r="L38" s="6"/>
      <c r="M38" s="6">
        <f>100000000+186800000+3500000+130000000</f>
        <v>420300000</v>
      </c>
      <c r="N38" s="6"/>
      <c r="O38" s="6"/>
      <c r="P38" s="94">
        <f>K38-L38+M38-Q38-N38+O38</f>
        <v>905069000</v>
      </c>
      <c r="Q38" s="6"/>
      <c r="R38" s="6">
        <v>896171114</v>
      </c>
      <c r="S38" s="6">
        <v>896171114</v>
      </c>
      <c r="T38" s="6">
        <v>896171114</v>
      </c>
      <c r="U38" s="6">
        <v>896171114</v>
      </c>
      <c r="V38" s="6">
        <v>896171114</v>
      </c>
      <c r="W38" s="86">
        <f t="shared" si="1"/>
        <v>0.9901688313266723</v>
      </c>
      <c r="X38" s="36"/>
    </row>
    <row r="39" spans="1:24" s="38" customFormat="1" ht="12.75" customHeight="1">
      <c r="A39" s="47" t="s">
        <v>10</v>
      </c>
      <c r="B39" s="48" t="s">
        <v>11</v>
      </c>
      <c r="C39" s="48" t="s">
        <v>12</v>
      </c>
      <c r="D39" s="48" t="s">
        <v>11</v>
      </c>
      <c r="E39" s="49" t="s">
        <v>43</v>
      </c>
      <c r="F39" s="49" t="s">
        <v>46</v>
      </c>
      <c r="G39" s="49" t="s">
        <v>13</v>
      </c>
      <c r="H39" s="64" t="s">
        <v>14</v>
      </c>
      <c r="I39" s="50" t="s">
        <v>15</v>
      </c>
      <c r="J39" s="48" t="s">
        <v>47</v>
      </c>
      <c r="K39" s="6">
        <v>391290000</v>
      </c>
      <c r="L39" s="6">
        <f>100000000+100000000+8000000+57507246+1000000+6500000+3500000</f>
        <v>276507246</v>
      </c>
      <c r="M39" s="6">
        <f>10212069+41600000+64000000</f>
        <v>115812069</v>
      </c>
      <c r="N39" s="6"/>
      <c r="O39" s="6"/>
      <c r="P39" s="94">
        <f>K39-L39+M39-Q39-N39+O39</f>
        <v>230594823</v>
      </c>
      <c r="Q39" s="6"/>
      <c r="R39" s="6">
        <v>174907474</v>
      </c>
      <c r="S39" s="6">
        <v>174907474</v>
      </c>
      <c r="T39" s="6">
        <v>174907474</v>
      </c>
      <c r="U39" s="6">
        <v>174907474</v>
      </c>
      <c r="V39" s="6">
        <v>174907474</v>
      </c>
      <c r="W39" s="86">
        <f t="shared" si="1"/>
        <v>0.7585056408660137</v>
      </c>
      <c r="X39" s="36"/>
    </row>
    <row r="40" spans="1:24" s="35" customFormat="1" ht="18.75" customHeight="1">
      <c r="A40" s="42" t="s">
        <v>10</v>
      </c>
      <c r="B40" s="43" t="s">
        <v>11</v>
      </c>
      <c r="C40" s="43" t="s">
        <v>12</v>
      </c>
      <c r="D40" s="43" t="s">
        <v>17</v>
      </c>
      <c r="E40" s="44"/>
      <c r="F40" s="44"/>
      <c r="G40" s="44"/>
      <c r="H40" s="63"/>
      <c r="I40" s="45"/>
      <c r="J40" s="43" t="s">
        <v>103</v>
      </c>
      <c r="K40" s="4">
        <f aca="true" t="shared" si="9" ref="K40:V40">SUM(K41:K42)</f>
        <v>4430189820</v>
      </c>
      <c r="L40" s="4">
        <f>SUM(L41:L42)</f>
        <v>438226131</v>
      </c>
      <c r="M40" s="4">
        <f>SUM(M41:M42)</f>
        <v>140226131</v>
      </c>
      <c r="N40" s="4">
        <f t="shared" si="9"/>
        <v>0</v>
      </c>
      <c r="O40" s="4">
        <f t="shared" si="9"/>
        <v>0</v>
      </c>
      <c r="P40" s="100">
        <f>SUM(P41:P42)</f>
        <v>4132189820</v>
      </c>
      <c r="Q40" s="4">
        <f>SUM(Q41:Q42)</f>
        <v>0</v>
      </c>
      <c r="R40" s="4">
        <f>SUM(R41:R42)</f>
        <v>3973081571.33</v>
      </c>
      <c r="S40" s="4">
        <f t="shared" si="9"/>
        <v>3973081571.33</v>
      </c>
      <c r="T40" s="4">
        <f t="shared" si="9"/>
        <v>3973081571.33</v>
      </c>
      <c r="U40" s="4">
        <f t="shared" si="9"/>
        <v>3734918209.33</v>
      </c>
      <c r="V40" s="4">
        <f t="shared" si="9"/>
        <v>3734918209.33</v>
      </c>
      <c r="W40" s="87">
        <f t="shared" si="1"/>
        <v>0.961495416328672</v>
      </c>
      <c r="X40" s="36"/>
    </row>
    <row r="41" spans="1:24" s="38" customFormat="1" ht="11.25" customHeight="1">
      <c r="A41" s="47" t="s">
        <v>10</v>
      </c>
      <c r="B41" s="48" t="s">
        <v>11</v>
      </c>
      <c r="C41" s="48" t="s">
        <v>12</v>
      </c>
      <c r="D41" s="48" t="s">
        <v>17</v>
      </c>
      <c r="E41" s="49" t="s">
        <v>25</v>
      </c>
      <c r="F41" s="49"/>
      <c r="G41" s="49" t="s">
        <v>13</v>
      </c>
      <c r="H41" s="64" t="s">
        <v>14</v>
      </c>
      <c r="I41" s="50" t="s">
        <v>15</v>
      </c>
      <c r="J41" s="48" t="s">
        <v>48</v>
      </c>
      <c r="K41" s="6">
        <v>4070052520</v>
      </c>
      <c r="L41" s="6">
        <f>(36868576+60700000-58780800+49438355+52000000+220675718)</f>
        <v>360901849</v>
      </c>
      <c r="M41" s="6"/>
      <c r="N41" s="6"/>
      <c r="O41" s="6"/>
      <c r="P41" s="94">
        <f>K41-L41+M41-Q41-N41+O41</f>
        <v>3709150671</v>
      </c>
      <c r="Q41" s="6"/>
      <c r="R41" s="6">
        <v>3582866662.33</v>
      </c>
      <c r="S41" s="6">
        <v>3582866662.33</v>
      </c>
      <c r="T41" s="6">
        <v>3582866662.33</v>
      </c>
      <c r="U41" s="6">
        <v>3365950067.33</v>
      </c>
      <c r="V41" s="6">
        <v>3365950067.33</v>
      </c>
      <c r="W41" s="86">
        <f t="shared" si="1"/>
        <v>0.9659533893682584</v>
      </c>
      <c r="X41" s="36"/>
    </row>
    <row r="42" spans="1:24" s="38" customFormat="1" ht="11.25" customHeight="1">
      <c r="A42" s="47" t="s">
        <v>10</v>
      </c>
      <c r="B42" s="48" t="s">
        <v>11</v>
      </c>
      <c r="C42" s="48" t="s">
        <v>12</v>
      </c>
      <c r="D42" s="48" t="s">
        <v>17</v>
      </c>
      <c r="E42" s="49" t="s">
        <v>29</v>
      </c>
      <c r="F42" s="49"/>
      <c r="G42" s="49" t="s">
        <v>13</v>
      </c>
      <c r="H42" s="64" t="s">
        <v>14</v>
      </c>
      <c r="I42" s="50" t="s">
        <v>15</v>
      </c>
      <c r="J42" s="48" t="s">
        <v>146</v>
      </c>
      <c r="K42" s="6">
        <v>360137300</v>
      </c>
      <c r="L42" s="6">
        <v>77324282</v>
      </c>
      <c r="M42" s="6">
        <f>(36868576+60700000-58780800+49438355+52000000)</f>
        <v>140226131</v>
      </c>
      <c r="N42" s="6"/>
      <c r="O42" s="6"/>
      <c r="P42" s="94">
        <f>K42-L42+M42-Q42-N42+O42</f>
        <v>423039149</v>
      </c>
      <c r="Q42" s="6"/>
      <c r="R42" s="6">
        <v>390214909</v>
      </c>
      <c r="S42" s="6">
        <v>390214909</v>
      </c>
      <c r="T42" s="6">
        <v>390214909</v>
      </c>
      <c r="U42" s="6">
        <v>368968142</v>
      </c>
      <c r="V42" s="6">
        <v>368968142</v>
      </c>
      <c r="W42" s="86">
        <f t="shared" si="1"/>
        <v>0.9224085050341286</v>
      </c>
      <c r="X42" s="36"/>
    </row>
    <row r="43" spans="1:24" s="35" customFormat="1" ht="36" customHeight="1">
      <c r="A43" s="42" t="s">
        <v>10</v>
      </c>
      <c r="B43" s="43" t="s">
        <v>11</v>
      </c>
      <c r="C43" s="43" t="s">
        <v>12</v>
      </c>
      <c r="D43" s="43" t="s">
        <v>22</v>
      </c>
      <c r="E43" s="44"/>
      <c r="F43" s="44"/>
      <c r="G43" s="44"/>
      <c r="H43" s="63"/>
      <c r="I43" s="45"/>
      <c r="J43" s="46" t="s">
        <v>104</v>
      </c>
      <c r="K43" s="4">
        <f>K44+K49+K52+K53</f>
        <v>5824456000</v>
      </c>
      <c r="L43" s="4">
        <f>L44+L49+L52+L53</f>
        <v>190700000</v>
      </c>
      <c r="M43" s="4">
        <f>M44+M49+M52+M53</f>
        <v>190700000</v>
      </c>
      <c r="N43" s="4">
        <f>N44+N49+N52+N53</f>
        <v>0</v>
      </c>
      <c r="O43" s="4">
        <f>O44+O49+O52+O53</f>
        <v>0</v>
      </c>
      <c r="P43" s="100">
        <f>P44+P49</f>
        <v>5824456000</v>
      </c>
      <c r="Q43" s="4">
        <f>Q44+Q49+Q52+Q53</f>
        <v>0</v>
      </c>
      <c r="R43" s="4">
        <f>R44+R49</f>
        <v>5791093141</v>
      </c>
      <c r="S43" s="4">
        <f>S44+S49</f>
        <v>5791093141</v>
      </c>
      <c r="T43" s="4">
        <f>T44+T49+T52+T53</f>
        <v>5791093141</v>
      </c>
      <c r="U43" s="4">
        <f>U44+U49+U52+U53</f>
        <v>5641556561</v>
      </c>
      <c r="V43" s="4">
        <f>V44+V49+V52+V53</f>
        <v>5641556561</v>
      </c>
      <c r="W43" s="87">
        <f t="shared" si="1"/>
        <v>0.9942719356108107</v>
      </c>
      <c r="X43" s="36"/>
    </row>
    <row r="44" spans="1:24" s="35" customFormat="1" ht="27.75" customHeight="1">
      <c r="A44" s="42" t="s">
        <v>10</v>
      </c>
      <c r="B44" s="43" t="s">
        <v>11</v>
      </c>
      <c r="C44" s="43" t="s">
        <v>12</v>
      </c>
      <c r="D44" s="43" t="s">
        <v>22</v>
      </c>
      <c r="E44" s="51">
        <v>1</v>
      </c>
      <c r="F44" s="44"/>
      <c r="G44" s="44"/>
      <c r="H44" s="63"/>
      <c r="I44" s="45" t="s">
        <v>15</v>
      </c>
      <c r="J44" s="43" t="s">
        <v>106</v>
      </c>
      <c r="K44" s="4">
        <f aca="true" t="shared" si="10" ref="K44:V44">SUM(K45:K48)</f>
        <v>2651052000</v>
      </c>
      <c r="L44" s="4">
        <f t="shared" si="10"/>
        <v>137700000</v>
      </c>
      <c r="M44" s="4">
        <f t="shared" si="10"/>
        <v>46700000</v>
      </c>
      <c r="N44" s="4">
        <f t="shared" si="10"/>
        <v>0</v>
      </c>
      <c r="O44" s="4">
        <f t="shared" si="10"/>
        <v>0</v>
      </c>
      <c r="P44" s="100">
        <f t="shared" si="10"/>
        <v>2560052000</v>
      </c>
      <c r="Q44" s="4">
        <f>SUM(Q45:Q48)</f>
        <v>0</v>
      </c>
      <c r="R44" s="4">
        <f t="shared" si="10"/>
        <v>2557342600</v>
      </c>
      <c r="S44" s="4">
        <f t="shared" si="10"/>
        <v>2557342600</v>
      </c>
      <c r="T44" s="4">
        <f t="shared" si="10"/>
        <v>2557342600</v>
      </c>
      <c r="U44" s="4">
        <f t="shared" si="10"/>
        <v>2486944900</v>
      </c>
      <c r="V44" s="4">
        <f t="shared" si="10"/>
        <v>2486944900</v>
      </c>
      <c r="W44" s="87">
        <f t="shared" si="1"/>
        <v>0.9989416621224881</v>
      </c>
      <c r="X44" s="36"/>
    </row>
    <row r="45" spans="1:24" s="38" customFormat="1" ht="12.75" customHeight="1">
      <c r="A45" s="47" t="s">
        <v>10</v>
      </c>
      <c r="B45" s="48" t="s">
        <v>11</v>
      </c>
      <c r="C45" s="48" t="s">
        <v>12</v>
      </c>
      <c r="D45" s="48" t="s">
        <v>22</v>
      </c>
      <c r="E45" s="49" t="s">
        <v>11</v>
      </c>
      <c r="F45" s="49" t="s">
        <v>11</v>
      </c>
      <c r="G45" s="49" t="s">
        <v>13</v>
      </c>
      <c r="H45" s="64" t="s">
        <v>14</v>
      </c>
      <c r="I45" s="50" t="s">
        <v>15</v>
      </c>
      <c r="J45" s="48" t="s">
        <v>49</v>
      </c>
      <c r="K45" s="6">
        <v>676300000</v>
      </c>
      <c r="L45" s="6">
        <f>11000000+59000000</f>
        <v>70000000</v>
      </c>
      <c r="M45" s="6">
        <v>7000000</v>
      </c>
      <c r="N45" s="6"/>
      <c r="O45" s="6"/>
      <c r="P45" s="94">
        <f>K45-L45+M45-Q45-N45+O45</f>
        <v>613300000</v>
      </c>
      <c r="Q45" s="6"/>
      <c r="R45" s="6">
        <v>612709100</v>
      </c>
      <c r="S45" s="6">
        <v>612709100</v>
      </c>
      <c r="T45" s="6">
        <v>612709100</v>
      </c>
      <c r="U45" s="6">
        <v>598797200</v>
      </c>
      <c r="V45" s="6">
        <v>598797200</v>
      </c>
      <c r="W45" s="86">
        <f t="shared" si="1"/>
        <v>0.9990365237241154</v>
      </c>
      <c r="X45" s="36"/>
    </row>
    <row r="46" spans="1:24" s="38" customFormat="1" ht="18" customHeight="1">
      <c r="A46" s="47" t="s">
        <v>10</v>
      </c>
      <c r="B46" s="48" t="s">
        <v>11</v>
      </c>
      <c r="C46" s="48" t="s">
        <v>12</v>
      </c>
      <c r="D46" s="48" t="s">
        <v>22</v>
      </c>
      <c r="E46" s="49" t="s">
        <v>11</v>
      </c>
      <c r="F46" s="49" t="s">
        <v>46</v>
      </c>
      <c r="G46" s="49" t="s">
        <v>13</v>
      </c>
      <c r="H46" s="64" t="s">
        <v>14</v>
      </c>
      <c r="I46" s="50" t="s">
        <v>15</v>
      </c>
      <c r="J46" s="52" t="s">
        <v>50</v>
      </c>
      <c r="K46" s="6">
        <v>531666000</v>
      </c>
      <c r="L46" s="6">
        <f>21700000+18000000</f>
        <v>39700000</v>
      </c>
      <c r="M46" s="6"/>
      <c r="N46" s="6"/>
      <c r="O46" s="6"/>
      <c r="P46" s="94">
        <f>K46-L46+M46-Q46-N46+O46</f>
        <v>491966000</v>
      </c>
      <c r="Q46" s="6"/>
      <c r="R46" s="6">
        <v>491928600</v>
      </c>
      <c r="S46" s="6">
        <v>491928600</v>
      </c>
      <c r="T46" s="6">
        <v>491928600</v>
      </c>
      <c r="U46" s="6">
        <v>482957600</v>
      </c>
      <c r="V46" s="6">
        <v>482957600</v>
      </c>
      <c r="W46" s="86">
        <f t="shared" si="1"/>
        <v>0.9999239784863182</v>
      </c>
      <c r="X46" s="36"/>
    </row>
    <row r="47" spans="1:24" s="38" customFormat="1" ht="12.75" customHeight="1">
      <c r="A47" s="47" t="s">
        <v>10</v>
      </c>
      <c r="B47" s="48" t="s">
        <v>11</v>
      </c>
      <c r="C47" s="48" t="s">
        <v>12</v>
      </c>
      <c r="D47" s="48" t="s">
        <v>22</v>
      </c>
      <c r="E47" s="49" t="s">
        <v>11</v>
      </c>
      <c r="F47" s="49" t="s">
        <v>19</v>
      </c>
      <c r="G47" s="49" t="s">
        <v>13</v>
      </c>
      <c r="H47" s="64" t="s">
        <v>14</v>
      </c>
      <c r="I47" s="50" t="s">
        <v>15</v>
      </c>
      <c r="J47" s="48" t="s">
        <v>51</v>
      </c>
      <c r="K47" s="6">
        <v>1155920000</v>
      </c>
      <c r="L47" s="6">
        <v>28000000</v>
      </c>
      <c r="M47" s="6">
        <v>11500000</v>
      </c>
      <c r="N47" s="6"/>
      <c r="O47" s="6"/>
      <c r="P47" s="94">
        <f>K47-L47+M47-Q47-N47+O47</f>
        <v>1139420000</v>
      </c>
      <c r="Q47" s="6"/>
      <c r="R47" s="6">
        <v>1138552700</v>
      </c>
      <c r="S47" s="6">
        <v>1138552700</v>
      </c>
      <c r="T47" s="6">
        <v>1138552700</v>
      </c>
      <c r="U47" s="6">
        <v>1108990100</v>
      </c>
      <c r="V47" s="6">
        <v>1108990100</v>
      </c>
      <c r="W47" s="86">
        <f t="shared" si="1"/>
        <v>0.9992388232609574</v>
      </c>
      <c r="X47" s="36"/>
    </row>
    <row r="48" spans="1:24" s="38" customFormat="1" ht="33" customHeight="1">
      <c r="A48" s="47" t="s">
        <v>10</v>
      </c>
      <c r="B48" s="48" t="s">
        <v>11</v>
      </c>
      <c r="C48" s="48" t="s">
        <v>12</v>
      </c>
      <c r="D48" s="48" t="s">
        <v>22</v>
      </c>
      <c r="E48" s="49" t="s">
        <v>11</v>
      </c>
      <c r="F48" s="49" t="s">
        <v>22</v>
      </c>
      <c r="G48" s="49" t="s">
        <v>13</v>
      </c>
      <c r="H48" s="64" t="s">
        <v>14</v>
      </c>
      <c r="I48" s="50" t="s">
        <v>15</v>
      </c>
      <c r="J48" s="53" t="s">
        <v>52</v>
      </c>
      <c r="K48" s="6">
        <v>287166000</v>
      </c>
      <c r="L48" s="6"/>
      <c r="M48" s="6">
        <f>11000000+3200000+14000000</f>
        <v>28200000</v>
      </c>
      <c r="N48" s="6"/>
      <c r="O48" s="6"/>
      <c r="P48" s="94">
        <f>K48-L48+M48-Q48-N48+O48</f>
        <v>315366000</v>
      </c>
      <c r="Q48" s="6"/>
      <c r="R48" s="6">
        <v>314152200</v>
      </c>
      <c r="S48" s="6">
        <v>314152200</v>
      </c>
      <c r="T48" s="6">
        <v>314152200</v>
      </c>
      <c r="U48" s="6">
        <v>296200000</v>
      </c>
      <c r="V48" s="6">
        <v>296200000</v>
      </c>
      <c r="W48" s="86">
        <f t="shared" si="1"/>
        <v>0.9961511386769658</v>
      </c>
      <c r="X48" s="36"/>
    </row>
    <row r="49" spans="1:24" s="35" customFormat="1" ht="14.25" customHeight="1">
      <c r="A49" s="42" t="s">
        <v>10</v>
      </c>
      <c r="B49" s="43" t="s">
        <v>11</v>
      </c>
      <c r="C49" s="43" t="s">
        <v>12</v>
      </c>
      <c r="D49" s="43" t="s">
        <v>22</v>
      </c>
      <c r="E49" s="51">
        <v>2</v>
      </c>
      <c r="F49" s="44"/>
      <c r="G49" s="44"/>
      <c r="H49" s="63"/>
      <c r="I49" s="45" t="s">
        <v>15</v>
      </c>
      <c r="J49" s="43" t="s">
        <v>107</v>
      </c>
      <c r="K49" s="4">
        <f>SUM(K50:K51)</f>
        <v>2326730000</v>
      </c>
      <c r="L49" s="4">
        <f>SUM(L50:L51)</f>
        <v>0</v>
      </c>
      <c r="M49" s="4">
        <f>SUM(M50:M51)</f>
        <v>144000000</v>
      </c>
      <c r="N49" s="4">
        <f>SUM(N50:N51)</f>
        <v>0</v>
      </c>
      <c r="O49" s="4">
        <f>SUM(O50:O51)</f>
        <v>0</v>
      </c>
      <c r="P49" s="100">
        <f>SUM(P50:P53)</f>
        <v>3264404000</v>
      </c>
      <c r="Q49" s="4">
        <f>SUM(Q50:Q51)</f>
        <v>0</v>
      </c>
      <c r="R49" s="4">
        <f>SUM(R50:R53)</f>
        <v>3233750541</v>
      </c>
      <c r="S49" s="4">
        <f>SUM(S50:S53)</f>
        <v>3233750541</v>
      </c>
      <c r="T49" s="4">
        <f>SUM(T50:T51)</f>
        <v>2467866291</v>
      </c>
      <c r="U49" s="4">
        <f>SUM(U50:U51)</f>
        <v>2406115711</v>
      </c>
      <c r="V49" s="4">
        <f>SUM(V50:V51)</f>
        <v>2406115711</v>
      </c>
      <c r="W49" s="87">
        <f t="shared" si="1"/>
        <v>0.9906097838992968</v>
      </c>
      <c r="X49" s="36"/>
    </row>
    <row r="50" spans="1:24" s="38" customFormat="1" ht="12.75" customHeight="1">
      <c r="A50" s="47" t="s">
        <v>10</v>
      </c>
      <c r="B50" s="48" t="s">
        <v>11</v>
      </c>
      <c r="C50" s="48" t="s">
        <v>12</v>
      </c>
      <c r="D50" s="48" t="s">
        <v>22</v>
      </c>
      <c r="E50" s="49" t="s">
        <v>17</v>
      </c>
      <c r="F50" s="49" t="s">
        <v>17</v>
      </c>
      <c r="G50" s="49" t="s">
        <v>13</v>
      </c>
      <c r="H50" s="64" t="s">
        <v>14</v>
      </c>
      <c r="I50" s="50" t="s">
        <v>15</v>
      </c>
      <c r="J50" s="48" t="s">
        <v>53</v>
      </c>
      <c r="K50" s="6">
        <v>1239397000</v>
      </c>
      <c r="L50" s="6"/>
      <c r="M50" s="6">
        <f>105000000+13000000</f>
        <v>118000000</v>
      </c>
      <c r="N50" s="6"/>
      <c r="O50" s="6"/>
      <c r="P50" s="94">
        <f>K50-L50+M50-Q50-N50+O50</f>
        <v>1357397000</v>
      </c>
      <c r="Q50" s="6"/>
      <c r="R50" s="6">
        <v>1355933891</v>
      </c>
      <c r="S50" s="6">
        <v>1355933891</v>
      </c>
      <c r="T50" s="6">
        <v>1355933891</v>
      </c>
      <c r="U50" s="6">
        <v>1326950111</v>
      </c>
      <c r="V50" s="6">
        <v>1326950111</v>
      </c>
      <c r="W50" s="86">
        <f t="shared" si="1"/>
        <v>0.9989221215311365</v>
      </c>
      <c r="X50" s="36"/>
    </row>
    <row r="51" spans="1:24" s="38" customFormat="1" ht="18" customHeight="1">
      <c r="A51" s="47" t="s">
        <v>10</v>
      </c>
      <c r="B51" s="48" t="s">
        <v>11</v>
      </c>
      <c r="C51" s="48" t="s">
        <v>12</v>
      </c>
      <c r="D51" s="48" t="s">
        <v>22</v>
      </c>
      <c r="E51" s="49" t="s">
        <v>17</v>
      </c>
      <c r="F51" s="49" t="s">
        <v>46</v>
      </c>
      <c r="G51" s="49" t="s">
        <v>13</v>
      </c>
      <c r="H51" s="64" t="s">
        <v>14</v>
      </c>
      <c r="I51" s="50" t="s">
        <v>15</v>
      </c>
      <c r="J51" s="52" t="s">
        <v>54</v>
      </c>
      <c r="K51" s="6">
        <v>1087333000</v>
      </c>
      <c r="L51" s="6"/>
      <c r="M51" s="6">
        <v>26000000</v>
      </c>
      <c r="N51" s="6"/>
      <c r="O51" s="6"/>
      <c r="P51" s="94">
        <f>K51-L51+M51-Q51-N51+O51</f>
        <v>1113333000</v>
      </c>
      <c r="Q51" s="6"/>
      <c r="R51" s="6">
        <v>1111932400</v>
      </c>
      <c r="S51" s="6">
        <v>1111932400</v>
      </c>
      <c r="T51" s="6">
        <v>1111932400</v>
      </c>
      <c r="U51" s="6">
        <v>1079165600</v>
      </c>
      <c r="V51" s="6">
        <v>1079165600</v>
      </c>
      <c r="W51" s="86">
        <f t="shared" si="1"/>
        <v>0.9987419756712502</v>
      </c>
      <c r="X51" s="36"/>
    </row>
    <row r="52" spans="1:24" s="38" customFormat="1" ht="12.75" customHeight="1">
      <c r="A52" s="47" t="s">
        <v>10</v>
      </c>
      <c r="B52" s="48" t="s">
        <v>11</v>
      </c>
      <c r="C52" s="48" t="s">
        <v>12</v>
      </c>
      <c r="D52" s="48" t="s">
        <v>22</v>
      </c>
      <c r="E52" s="49" t="s">
        <v>55</v>
      </c>
      <c r="F52" s="49"/>
      <c r="G52" s="49" t="s">
        <v>13</v>
      </c>
      <c r="H52" s="64" t="s">
        <v>14</v>
      </c>
      <c r="I52" s="50" t="s">
        <v>15</v>
      </c>
      <c r="J52" s="48" t="s">
        <v>56</v>
      </c>
      <c r="K52" s="6">
        <v>506670000</v>
      </c>
      <c r="L52" s="6">
        <v>46000000</v>
      </c>
      <c r="M52" s="6"/>
      <c r="N52" s="6"/>
      <c r="O52" s="6"/>
      <c r="P52" s="94">
        <f>K52-L52+M52-Q52-N52+O52</f>
        <v>460670000</v>
      </c>
      <c r="Q52" s="6"/>
      <c r="R52" s="6">
        <v>459529150</v>
      </c>
      <c r="S52" s="6">
        <v>459529150</v>
      </c>
      <c r="T52" s="6">
        <v>459529150</v>
      </c>
      <c r="U52" s="6">
        <v>449096450</v>
      </c>
      <c r="V52" s="6">
        <v>449096450</v>
      </c>
      <c r="W52" s="86">
        <f t="shared" si="1"/>
        <v>0.9975234983827903</v>
      </c>
      <c r="X52" s="36"/>
    </row>
    <row r="53" spans="1:24" s="38" customFormat="1" ht="12.75" customHeight="1">
      <c r="A53" s="47" t="s">
        <v>10</v>
      </c>
      <c r="B53" s="48" t="s">
        <v>11</v>
      </c>
      <c r="C53" s="48" t="s">
        <v>12</v>
      </c>
      <c r="D53" s="48" t="s">
        <v>22</v>
      </c>
      <c r="E53" s="49" t="s">
        <v>57</v>
      </c>
      <c r="F53" s="49"/>
      <c r="G53" s="49" t="s">
        <v>13</v>
      </c>
      <c r="H53" s="64" t="s">
        <v>14</v>
      </c>
      <c r="I53" s="50" t="s">
        <v>15</v>
      </c>
      <c r="J53" s="48" t="s">
        <v>58</v>
      </c>
      <c r="K53" s="6">
        <v>340004000</v>
      </c>
      <c r="L53" s="6">
        <v>7000000</v>
      </c>
      <c r="M53" s="6"/>
      <c r="N53" s="6"/>
      <c r="O53" s="6"/>
      <c r="P53" s="94">
        <f>K53-L53+M53-Q53-N53+O53</f>
        <v>333004000</v>
      </c>
      <c r="Q53" s="6"/>
      <c r="R53" s="6">
        <v>306355100</v>
      </c>
      <c r="S53" s="6">
        <v>306355100</v>
      </c>
      <c r="T53" s="6">
        <v>306355100</v>
      </c>
      <c r="U53" s="6">
        <v>299399500</v>
      </c>
      <c r="V53" s="6">
        <v>299399500</v>
      </c>
      <c r="W53" s="86">
        <f t="shared" si="1"/>
        <v>0.9199742345437292</v>
      </c>
      <c r="X53" s="36"/>
    </row>
    <row r="54" spans="1:24" s="35" customFormat="1" ht="12.75" customHeight="1">
      <c r="A54" s="42" t="s">
        <v>10</v>
      </c>
      <c r="B54" s="43">
        <v>2</v>
      </c>
      <c r="C54" s="43"/>
      <c r="D54" s="43"/>
      <c r="E54" s="44"/>
      <c r="F54" s="44"/>
      <c r="G54" s="44"/>
      <c r="H54" s="63"/>
      <c r="I54" s="45"/>
      <c r="J54" s="43" t="s">
        <v>110</v>
      </c>
      <c r="K54" s="4">
        <f aca="true" t="shared" si="11" ref="K54:U54">K55+K61</f>
        <v>18572332220</v>
      </c>
      <c r="L54" s="4">
        <f t="shared" si="11"/>
        <v>3041881428.02</v>
      </c>
      <c r="M54" s="4">
        <f>M55+M61</f>
        <v>3041881428.02</v>
      </c>
      <c r="N54" s="4">
        <f t="shared" si="11"/>
        <v>460401287</v>
      </c>
      <c r="O54" s="4">
        <f t="shared" si="11"/>
        <v>0</v>
      </c>
      <c r="P54" s="100">
        <f>P55+P61</f>
        <v>18111930933</v>
      </c>
      <c r="Q54" s="4">
        <f>Q55+Q61</f>
        <v>0</v>
      </c>
      <c r="R54" s="4">
        <f t="shared" si="11"/>
        <v>16120750944.710001</v>
      </c>
      <c r="S54" s="4">
        <f t="shared" si="11"/>
        <v>16120750944.710001</v>
      </c>
      <c r="T54" s="4">
        <f t="shared" si="11"/>
        <v>16119009022.710001</v>
      </c>
      <c r="U54" s="4">
        <f t="shared" si="11"/>
        <v>15131430388.77</v>
      </c>
      <c r="V54" s="4">
        <f>V55+V61</f>
        <v>15131430388.77</v>
      </c>
      <c r="W54" s="87">
        <f t="shared" si="1"/>
        <v>0.8900625231149671</v>
      </c>
      <c r="X54" s="36"/>
    </row>
    <row r="55" spans="1:24" s="35" customFormat="1" ht="12.75" customHeight="1">
      <c r="A55" s="42" t="s">
        <v>10</v>
      </c>
      <c r="B55" s="43" t="s">
        <v>17</v>
      </c>
      <c r="C55" s="43" t="s">
        <v>12</v>
      </c>
      <c r="D55" s="43" t="s">
        <v>46</v>
      </c>
      <c r="E55" s="44"/>
      <c r="F55" s="44"/>
      <c r="G55" s="44"/>
      <c r="H55" s="63"/>
      <c r="I55" s="45"/>
      <c r="J55" s="43" t="s">
        <v>105</v>
      </c>
      <c r="K55" s="4">
        <f aca="true" t="shared" si="12" ref="K55:V55">K56</f>
        <v>61797000</v>
      </c>
      <c r="L55" s="4">
        <f t="shared" si="12"/>
        <v>21180000</v>
      </c>
      <c r="M55" s="4">
        <f t="shared" si="12"/>
        <v>63992000</v>
      </c>
      <c r="N55" s="4">
        <f t="shared" si="12"/>
        <v>0</v>
      </c>
      <c r="O55" s="4">
        <f t="shared" si="12"/>
        <v>0</v>
      </c>
      <c r="P55" s="100">
        <f t="shared" si="12"/>
        <v>104609000</v>
      </c>
      <c r="Q55" s="4">
        <f t="shared" si="12"/>
        <v>0</v>
      </c>
      <c r="R55" s="4">
        <f t="shared" si="12"/>
        <v>102304043.88</v>
      </c>
      <c r="S55" s="4">
        <f t="shared" si="12"/>
        <v>102304043.88</v>
      </c>
      <c r="T55" s="4">
        <f t="shared" si="12"/>
        <v>102304043.88</v>
      </c>
      <c r="U55" s="4">
        <f t="shared" si="12"/>
        <v>102304043.88</v>
      </c>
      <c r="V55" s="4">
        <f t="shared" si="12"/>
        <v>102304043.88</v>
      </c>
      <c r="W55" s="87">
        <f t="shared" si="1"/>
        <v>0.9779659864829986</v>
      </c>
      <c r="X55" s="36"/>
    </row>
    <row r="56" spans="1:24" s="35" customFormat="1" ht="12.75" customHeight="1">
      <c r="A56" s="42" t="s">
        <v>10</v>
      </c>
      <c r="B56" s="43" t="s">
        <v>17</v>
      </c>
      <c r="C56" s="43" t="s">
        <v>12</v>
      </c>
      <c r="D56" s="43" t="s">
        <v>46</v>
      </c>
      <c r="E56" s="51">
        <v>50</v>
      </c>
      <c r="F56" s="44"/>
      <c r="G56" s="44"/>
      <c r="H56" s="63"/>
      <c r="I56" s="45"/>
      <c r="J56" s="43" t="s">
        <v>170</v>
      </c>
      <c r="K56" s="4">
        <f aca="true" t="shared" si="13" ref="K56:V56">SUM(K57:K60)</f>
        <v>61797000</v>
      </c>
      <c r="L56" s="4">
        <f>SUM(L57:L60)</f>
        <v>21180000</v>
      </c>
      <c r="M56" s="4">
        <f t="shared" si="13"/>
        <v>63992000</v>
      </c>
      <c r="N56" s="4">
        <f t="shared" si="13"/>
        <v>0</v>
      </c>
      <c r="O56" s="4">
        <f t="shared" si="13"/>
        <v>0</v>
      </c>
      <c r="P56" s="100">
        <f t="shared" si="13"/>
        <v>104609000</v>
      </c>
      <c r="Q56" s="4">
        <f>SUM(Q57:Q60)</f>
        <v>0</v>
      </c>
      <c r="R56" s="4">
        <f t="shared" si="13"/>
        <v>102304043.88</v>
      </c>
      <c r="S56" s="4">
        <f t="shared" si="13"/>
        <v>102304043.88</v>
      </c>
      <c r="T56" s="4">
        <f t="shared" si="13"/>
        <v>102304043.88</v>
      </c>
      <c r="U56" s="4">
        <f t="shared" si="13"/>
        <v>102304043.88</v>
      </c>
      <c r="V56" s="4">
        <f t="shared" si="13"/>
        <v>102304043.88</v>
      </c>
      <c r="W56" s="87">
        <f t="shared" si="1"/>
        <v>0.9779659864829986</v>
      </c>
      <c r="X56" s="36"/>
    </row>
    <row r="57" spans="1:24" s="38" customFormat="1" ht="12.75" customHeight="1">
      <c r="A57" s="47" t="s">
        <v>10</v>
      </c>
      <c r="B57" s="48" t="s">
        <v>17</v>
      </c>
      <c r="C57" s="48" t="s">
        <v>12</v>
      </c>
      <c r="D57" s="48" t="s">
        <v>46</v>
      </c>
      <c r="E57" s="49" t="s">
        <v>59</v>
      </c>
      <c r="F57" s="49" t="s">
        <v>17</v>
      </c>
      <c r="G57" s="49" t="s">
        <v>13</v>
      </c>
      <c r="H57" s="64" t="s">
        <v>14</v>
      </c>
      <c r="I57" s="50" t="s">
        <v>15</v>
      </c>
      <c r="J57" s="48" t="s">
        <v>60</v>
      </c>
      <c r="K57" s="6">
        <v>2297000</v>
      </c>
      <c r="L57" s="6">
        <v>1251000</v>
      </c>
      <c r="M57" s="6"/>
      <c r="N57" s="6"/>
      <c r="O57" s="6"/>
      <c r="P57" s="94">
        <f>K57-L57+M57-Q57-N57+O57</f>
        <v>1046000</v>
      </c>
      <c r="Q57" s="6"/>
      <c r="R57" s="6">
        <v>1046000</v>
      </c>
      <c r="S57" s="6">
        <v>1046000</v>
      </c>
      <c r="T57" s="6">
        <v>1046000</v>
      </c>
      <c r="U57" s="6">
        <v>1046000</v>
      </c>
      <c r="V57" s="6">
        <v>1046000</v>
      </c>
      <c r="W57" s="86">
        <f t="shared" si="1"/>
        <v>1</v>
      </c>
      <c r="X57" s="36"/>
    </row>
    <row r="58" spans="1:24" s="38" customFormat="1" ht="15" customHeight="1">
      <c r="A58" s="47" t="s">
        <v>10</v>
      </c>
      <c r="B58" s="48" t="s">
        <v>17</v>
      </c>
      <c r="C58" s="48" t="s">
        <v>12</v>
      </c>
      <c r="D58" s="48" t="s">
        <v>46</v>
      </c>
      <c r="E58" s="49" t="s">
        <v>59</v>
      </c>
      <c r="F58" s="49" t="s">
        <v>46</v>
      </c>
      <c r="G58" s="49" t="s">
        <v>13</v>
      </c>
      <c r="H58" s="64" t="s">
        <v>14</v>
      </c>
      <c r="I58" s="50" t="s">
        <v>15</v>
      </c>
      <c r="J58" s="48" t="s">
        <v>61</v>
      </c>
      <c r="K58" s="6">
        <v>38571000</v>
      </c>
      <c r="L58" s="6"/>
      <c r="M58" s="6">
        <v>19929000</v>
      </c>
      <c r="N58" s="6"/>
      <c r="O58" s="6"/>
      <c r="P58" s="94">
        <f>K58-L58+M58-Q58-N58+O58</f>
        <v>58500000</v>
      </c>
      <c r="Q58" s="6"/>
      <c r="R58" s="6">
        <v>57924259</v>
      </c>
      <c r="S58" s="6">
        <v>57924259</v>
      </c>
      <c r="T58" s="6">
        <v>57924259</v>
      </c>
      <c r="U58" s="6">
        <v>57924259</v>
      </c>
      <c r="V58" s="6">
        <v>57924259</v>
      </c>
      <c r="W58" s="86">
        <f t="shared" si="1"/>
        <v>0.9901582735042735</v>
      </c>
      <c r="X58" s="36"/>
    </row>
    <row r="59" spans="1:24" s="38" customFormat="1" ht="15" customHeight="1">
      <c r="A59" s="47" t="s">
        <v>10</v>
      </c>
      <c r="B59" s="48" t="s">
        <v>17</v>
      </c>
      <c r="C59" s="48" t="s">
        <v>12</v>
      </c>
      <c r="D59" s="48" t="s">
        <v>46</v>
      </c>
      <c r="E59" s="49" t="s">
        <v>59</v>
      </c>
      <c r="F59" s="49" t="s">
        <v>46</v>
      </c>
      <c r="G59" s="49" t="s">
        <v>13</v>
      </c>
      <c r="H59" s="64" t="s">
        <v>93</v>
      </c>
      <c r="I59" s="50" t="s">
        <v>15</v>
      </c>
      <c r="J59" s="48" t="s">
        <v>61</v>
      </c>
      <c r="K59" s="6"/>
      <c r="L59" s="6"/>
      <c r="M59" s="6">
        <v>42812000</v>
      </c>
      <c r="N59" s="6"/>
      <c r="O59" s="6"/>
      <c r="P59" s="94">
        <f>K59-L59+M59-Q59-N59+O59</f>
        <v>42812000</v>
      </c>
      <c r="Q59" s="6"/>
      <c r="R59" s="6">
        <v>42812000</v>
      </c>
      <c r="S59" s="6">
        <v>42812000</v>
      </c>
      <c r="T59" s="6">
        <v>42812000</v>
      </c>
      <c r="U59" s="6">
        <v>42812000</v>
      </c>
      <c r="V59" s="6">
        <v>42812000</v>
      </c>
      <c r="W59" s="86">
        <f t="shared" si="1"/>
        <v>1</v>
      </c>
      <c r="X59" s="36"/>
    </row>
    <row r="60" spans="1:24" s="38" customFormat="1" ht="15" customHeight="1">
      <c r="A60" s="47" t="s">
        <v>10</v>
      </c>
      <c r="B60" s="48" t="s">
        <v>17</v>
      </c>
      <c r="C60" s="48" t="s">
        <v>12</v>
      </c>
      <c r="D60" s="48" t="s">
        <v>46</v>
      </c>
      <c r="E60" s="49" t="s">
        <v>59</v>
      </c>
      <c r="F60" s="54">
        <v>90</v>
      </c>
      <c r="G60" s="49" t="s">
        <v>13</v>
      </c>
      <c r="H60" s="64" t="s">
        <v>14</v>
      </c>
      <c r="I60" s="50" t="s">
        <v>15</v>
      </c>
      <c r="J60" s="48" t="s">
        <v>167</v>
      </c>
      <c r="K60" s="6">
        <v>20929000</v>
      </c>
      <c r="L60" s="6">
        <v>19929000</v>
      </c>
      <c r="M60" s="6">
        <v>1251000</v>
      </c>
      <c r="N60" s="6"/>
      <c r="O60" s="6"/>
      <c r="P60" s="94">
        <f>K60-L60+M60-Q60-N60+O60</f>
        <v>2251000</v>
      </c>
      <c r="Q60" s="6"/>
      <c r="R60" s="6">
        <v>521784.88</v>
      </c>
      <c r="S60" s="6">
        <v>521784.88</v>
      </c>
      <c r="T60" s="6">
        <v>521784.88</v>
      </c>
      <c r="U60" s="6">
        <v>521784.88</v>
      </c>
      <c r="V60" s="6">
        <v>521784.88</v>
      </c>
      <c r="W60" s="86">
        <f aca="true" t="shared" si="14" ref="W60:W72">S60/P60</f>
        <v>0.23180136828076411</v>
      </c>
      <c r="X60" s="36"/>
    </row>
    <row r="61" spans="1:24" s="103" customFormat="1" ht="12.75" customHeight="1">
      <c r="A61" s="95" t="s">
        <v>10</v>
      </c>
      <c r="B61" s="96" t="s">
        <v>17</v>
      </c>
      <c r="C61" s="96" t="s">
        <v>12</v>
      </c>
      <c r="D61" s="96" t="s">
        <v>19</v>
      </c>
      <c r="E61" s="97"/>
      <c r="F61" s="97"/>
      <c r="G61" s="97"/>
      <c r="H61" s="98"/>
      <c r="I61" s="99"/>
      <c r="J61" s="96" t="s">
        <v>108</v>
      </c>
      <c r="K61" s="100">
        <f>K62+K70+K80+K96+K101+K103+K109+K111+K113+K116+K120+K127</f>
        <v>18510535220</v>
      </c>
      <c r="L61" s="100">
        <f>L62+L70+L80+L96+L101+L103+L109+L111+L113+L116+L120+L127+L66</f>
        <v>3020701428.02</v>
      </c>
      <c r="M61" s="100">
        <f>M62+M70+M80+M96+M101+M103+M109+M111+M113+M116+M120+M127+M125+M118+M66+M130</f>
        <v>2977889428.02</v>
      </c>
      <c r="N61" s="100">
        <f>N62+N70+N80+N96+N101+N103+N109+N111+N113+N116+N120+N127</f>
        <v>460401287</v>
      </c>
      <c r="O61" s="100">
        <f>O62+O70+O80+O96+O101+O103+O109+O111+O113+O116+O120+O127</f>
        <v>0</v>
      </c>
      <c r="P61" s="100">
        <f>P62+P70+P80+P96+P101+P103+P109+P111+P113+P116+P120+P127+P118+P125+P66+P130</f>
        <v>18007321933</v>
      </c>
      <c r="Q61" s="100">
        <f>Q80+Q96</f>
        <v>0</v>
      </c>
      <c r="R61" s="100">
        <f>R62+R66+R70+R80+R96+R101+R103+R109+R111+R113+R116+R120+R125+R127+R130+R118</f>
        <v>16018446900.830002</v>
      </c>
      <c r="S61" s="100">
        <f>S62+S70+S80+S96+S101+S103+S109+S111+S113+S116+S120+S127+S125+S66+S118+S130</f>
        <v>16018446900.830002</v>
      </c>
      <c r="T61" s="100">
        <f>T62+T70+T80+T96+T101+T103+T109+T111+T113+T116+T120+T127+T125+T66+T118+T130</f>
        <v>16016704978.830002</v>
      </c>
      <c r="U61" s="100">
        <f>U62+U70+U80+U96+U101+U103+U109+U111+U113+U116+U120+U127+U125+U118+U130</f>
        <v>15029126344.890001</v>
      </c>
      <c r="V61" s="100">
        <f>V62+V70+V80+V96+V101+V103+V109+V111+V113+V116+V120+V127+V125+V118+V130</f>
        <v>15029126344.890001</v>
      </c>
      <c r="W61" s="101">
        <f t="shared" si="14"/>
        <v>0.8895518700909539</v>
      </c>
      <c r="X61" s="102"/>
    </row>
    <row r="62" spans="1:24" s="35" customFormat="1" ht="12.75" customHeight="1">
      <c r="A62" s="42" t="s">
        <v>10</v>
      </c>
      <c r="B62" s="43" t="s">
        <v>17</v>
      </c>
      <c r="C62" s="43" t="s">
        <v>12</v>
      </c>
      <c r="D62" s="43" t="s">
        <v>19</v>
      </c>
      <c r="E62" s="51">
        <v>1</v>
      </c>
      <c r="F62" s="44"/>
      <c r="G62" s="44"/>
      <c r="H62" s="63"/>
      <c r="I62" s="45" t="s">
        <v>15</v>
      </c>
      <c r="J62" s="43" t="s">
        <v>109</v>
      </c>
      <c r="K62" s="4">
        <f>SUM(K63:K64)</f>
        <v>71000000</v>
      </c>
      <c r="L62" s="4">
        <f>SUM(L63:L64)</f>
        <v>41835520</v>
      </c>
      <c r="M62" s="4">
        <f>SUM(M63:M65)</f>
        <v>19300000</v>
      </c>
      <c r="N62" s="4">
        <f>SUM(N63:N64)</f>
        <v>0</v>
      </c>
      <c r="O62" s="4">
        <f>SUM(O63:O64)</f>
        <v>0</v>
      </c>
      <c r="P62" s="100">
        <f>SUM(P63:P65)</f>
        <v>48464480</v>
      </c>
      <c r="Q62" s="4">
        <f>SUM(Q63:Q64)</f>
        <v>0</v>
      </c>
      <c r="R62" s="4">
        <f>SUM(R63:R65)</f>
        <v>30814704</v>
      </c>
      <c r="S62" s="4">
        <f>SUM(S63:S65)</f>
        <v>30814704</v>
      </c>
      <c r="T62" s="4">
        <f>SUM(T63:T65)</f>
        <v>30814704</v>
      </c>
      <c r="U62" s="4">
        <f>SUM(U63:U65)</f>
        <v>30814704</v>
      </c>
      <c r="V62" s="4">
        <f>SUM(V63:V65)</f>
        <v>30814704</v>
      </c>
      <c r="W62" s="87">
        <f t="shared" si="14"/>
        <v>0.635820378140857</v>
      </c>
      <c r="X62" s="36"/>
    </row>
    <row r="63" spans="1:24" s="38" customFormat="1" ht="12.75" customHeight="1">
      <c r="A63" s="47" t="s">
        <v>10</v>
      </c>
      <c r="B63" s="48" t="s">
        <v>17</v>
      </c>
      <c r="C63" s="48" t="s">
        <v>12</v>
      </c>
      <c r="D63" s="48" t="s">
        <v>19</v>
      </c>
      <c r="E63" s="49" t="s">
        <v>11</v>
      </c>
      <c r="F63" s="49" t="s">
        <v>62</v>
      </c>
      <c r="G63" s="49" t="s">
        <v>13</v>
      </c>
      <c r="H63" s="64" t="s">
        <v>14</v>
      </c>
      <c r="I63" s="50" t="s">
        <v>15</v>
      </c>
      <c r="J63" s="48" t="s">
        <v>63</v>
      </c>
      <c r="K63" s="6">
        <v>16000000</v>
      </c>
      <c r="L63" s="6"/>
      <c r="M63" s="6"/>
      <c r="N63" s="6"/>
      <c r="O63" s="6"/>
      <c r="P63" s="94">
        <f>K63-L63+M63-Q63-N63+O63</f>
        <v>16000000</v>
      </c>
      <c r="Q63" s="6"/>
      <c r="R63" s="6">
        <v>15552120</v>
      </c>
      <c r="S63" s="6">
        <v>15552120</v>
      </c>
      <c r="T63" s="6">
        <v>15552120</v>
      </c>
      <c r="U63" s="6">
        <v>15552120</v>
      </c>
      <c r="V63" s="6">
        <v>15552120</v>
      </c>
      <c r="W63" s="86">
        <f t="shared" si="14"/>
        <v>0.9720075</v>
      </c>
      <c r="X63" s="36"/>
    </row>
    <row r="64" spans="1:24" s="38" customFormat="1" ht="12" customHeight="1">
      <c r="A64" s="47" t="s">
        <v>10</v>
      </c>
      <c r="B64" s="48" t="s">
        <v>17</v>
      </c>
      <c r="C64" s="48" t="s">
        <v>12</v>
      </c>
      <c r="D64" s="48" t="s">
        <v>19</v>
      </c>
      <c r="E64" s="49" t="s">
        <v>11</v>
      </c>
      <c r="F64" s="54" t="s">
        <v>64</v>
      </c>
      <c r="G64" s="49" t="s">
        <v>13</v>
      </c>
      <c r="H64" s="64" t="s">
        <v>14</v>
      </c>
      <c r="I64" s="50" t="s">
        <v>15</v>
      </c>
      <c r="J64" s="48" t="s">
        <v>65</v>
      </c>
      <c r="K64" s="6">
        <v>55000000</v>
      </c>
      <c r="L64" s="6">
        <f>1835520+40000000</f>
        <v>41835520</v>
      </c>
      <c r="M64" s="6"/>
      <c r="N64" s="6"/>
      <c r="O64" s="6"/>
      <c r="P64" s="94">
        <f>K64-L64+M64-Q64-N64+O64</f>
        <v>13164480</v>
      </c>
      <c r="Q64" s="6"/>
      <c r="R64" s="6">
        <v>8095640</v>
      </c>
      <c r="S64" s="6">
        <v>8095640</v>
      </c>
      <c r="T64" s="6">
        <v>8095640</v>
      </c>
      <c r="U64" s="6">
        <v>8095640</v>
      </c>
      <c r="V64" s="6">
        <v>8095640</v>
      </c>
      <c r="W64" s="86">
        <f t="shared" si="14"/>
        <v>0.6149608643865918</v>
      </c>
      <c r="X64" s="36"/>
    </row>
    <row r="65" spans="1:24" s="38" customFormat="1" ht="12" customHeight="1">
      <c r="A65" s="47" t="s">
        <v>10</v>
      </c>
      <c r="B65" s="48" t="s">
        <v>17</v>
      </c>
      <c r="C65" s="48" t="s">
        <v>12</v>
      </c>
      <c r="D65" s="48" t="s">
        <v>19</v>
      </c>
      <c r="E65" s="49" t="s">
        <v>11</v>
      </c>
      <c r="F65" s="54">
        <v>25</v>
      </c>
      <c r="G65" s="49" t="s">
        <v>13</v>
      </c>
      <c r="H65" s="64" t="s">
        <v>14</v>
      </c>
      <c r="I65" s="50" t="s">
        <v>15</v>
      </c>
      <c r="J65" s="48" t="s">
        <v>65</v>
      </c>
      <c r="K65" s="6"/>
      <c r="L65" s="6"/>
      <c r="M65" s="6">
        <v>19300000</v>
      </c>
      <c r="N65" s="6"/>
      <c r="O65" s="6"/>
      <c r="P65" s="94">
        <f>K65-L65+M65-Q65-N65+O65</f>
        <v>19300000</v>
      </c>
      <c r="Q65" s="6"/>
      <c r="R65" s="6">
        <v>7166944</v>
      </c>
      <c r="S65" s="6">
        <v>7166944</v>
      </c>
      <c r="T65" s="6">
        <v>7166944</v>
      </c>
      <c r="U65" s="6">
        <v>7166944</v>
      </c>
      <c r="V65" s="6">
        <v>7166944</v>
      </c>
      <c r="W65" s="86">
        <f t="shared" si="14"/>
        <v>0.3713442487046632</v>
      </c>
      <c r="X65" s="36"/>
    </row>
    <row r="66" spans="1:24" s="38" customFormat="1" ht="12" customHeight="1">
      <c r="A66" s="42" t="s">
        <v>10</v>
      </c>
      <c r="B66" s="43" t="s">
        <v>17</v>
      </c>
      <c r="C66" s="43" t="s">
        <v>12</v>
      </c>
      <c r="D66" s="43" t="s">
        <v>19</v>
      </c>
      <c r="E66" s="51">
        <v>2</v>
      </c>
      <c r="F66" s="44"/>
      <c r="G66" s="44"/>
      <c r="H66" s="63"/>
      <c r="I66" s="45" t="s">
        <v>15</v>
      </c>
      <c r="J66" s="43" t="s">
        <v>178</v>
      </c>
      <c r="K66" s="2">
        <f>SUM(K68:K69)</f>
        <v>0</v>
      </c>
      <c r="L66" s="2">
        <f>SUM(L68:L69)</f>
        <v>24000000</v>
      </c>
      <c r="M66" s="2">
        <f>SUM(M67:M69)</f>
        <v>283400000</v>
      </c>
      <c r="N66" s="6"/>
      <c r="O66" s="6"/>
      <c r="P66" s="134">
        <f>SUM(P67:P69)</f>
        <v>259400000</v>
      </c>
      <c r="Q66" s="2"/>
      <c r="R66" s="2">
        <f>R67+R68+R69</f>
        <v>25100000</v>
      </c>
      <c r="S66" s="2">
        <f>S67+S68+S69</f>
        <v>25100000</v>
      </c>
      <c r="T66" s="2">
        <f>T67+T68+T69</f>
        <v>25100000</v>
      </c>
      <c r="U66" s="2">
        <f>U67+U68+U69</f>
        <v>0</v>
      </c>
      <c r="V66" s="2">
        <f>V67+V68+V69</f>
        <v>0</v>
      </c>
      <c r="W66" s="87">
        <f t="shared" si="14"/>
        <v>0.09676175790285274</v>
      </c>
      <c r="X66" s="36"/>
    </row>
    <row r="67" spans="1:24" s="38" customFormat="1" ht="12" customHeight="1">
      <c r="A67" s="47" t="s">
        <v>10</v>
      </c>
      <c r="B67" s="48" t="s">
        <v>17</v>
      </c>
      <c r="C67" s="48" t="s">
        <v>12</v>
      </c>
      <c r="D67" s="48" t="s">
        <v>19</v>
      </c>
      <c r="E67" s="120">
        <v>2</v>
      </c>
      <c r="F67" s="54">
        <v>2</v>
      </c>
      <c r="G67" s="49" t="s">
        <v>13</v>
      </c>
      <c r="H67" s="64" t="s">
        <v>14</v>
      </c>
      <c r="I67" s="50" t="s">
        <v>15</v>
      </c>
      <c r="J67" s="48" t="s">
        <v>174</v>
      </c>
      <c r="K67" s="2"/>
      <c r="L67" s="2"/>
      <c r="M67" s="6">
        <f>155000000+60100000+19300000</f>
        <v>234400000</v>
      </c>
      <c r="N67" s="6"/>
      <c r="O67" s="6"/>
      <c r="P67" s="94">
        <f>K67-L67+M67-Q67-N67+O67</f>
        <v>234400000</v>
      </c>
      <c r="Q67" s="2"/>
      <c r="R67" s="6">
        <v>25100000</v>
      </c>
      <c r="S67" s="6">
        <v>25100000</v>
      </c>
      <c r="T67" s="6">
        <v>25100000</v>
      </c>
      <c r="U67" s="6">
        <v>0</v>
      </c>
      <c r="V67" s="6">
        <v>0</v>
      </c>
      <c r="W67" s="86">
        <f t="shared" si="14"/>
        <v>0.10708191126279863</v>
      </c>
      <c r="X67" s="36"/>
    </row>
    <row r="68" spans="1:24" s="38" customFormat="1" ht="12" customHeight="1">
      <c r="A68" s="47" t="s">
        <v>10</v>
      </c>
      <c r="B68" s="48" t="s">
        <v>17</v>
      </c>
      <c r="C68" s="48" t="s">
        <v>12</v>
      </c>
      <c r="D68" s="48" t="s">
        <v>19</v>
      </c>
      <c r="E68" s="120">
        <v>2</v>
      </c>
      <c r="F68" s="54">
        <v>2</v>
      </c>
      <c r="G68" s="49" t="s">
        <v>128</v>
      </c>
      <c r="H68" s="64" t="s">
        <v>93</v>
      </c>
      <c r="I68" s="50" t="s">
        <v>15</v>
      </c>
      <c r="J68" s="48" t="s">
        <v>174</v>
      </c>
      <c r="K68" s="6"/>
      <c r="L68" s="6">
        <v>12000000</v>
      </c>
      <c r="M68" s="6">
        <f>25000000+12000000</f>
        <v>37000000</v>
      </c>
      <c r="N68" s="6"/>
      <c r="O68" s="6"/>
      <c r="P68" s="94">
        <f>K68-L68+M68-Q68-N68+O68</f>
        <v>25000000</v>
      </c>
      <c r="Q68" s="6"/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86">
        <f>S68/P68</f>
        <v>0</v>
      </c>
      <c r="X68" s="36"/>
    </row>
    <row r="69" spans="1:24" s="38" customFormat="1" ht="12" customHeight="1">
      <c r="A69" s="47" t="s">
        <v>10</v>
      </c>
      <c r="B69" s="48" t="s">
        <v>17</v>
      </c>
      <c r="C69" s="48" t="s">
        <v>12</v>
      </c>
      <c r="D69" s="48" t="s">
        <v>19</v>
      </c>
      <c r="E69" s="120">
        <v>2</v>
      </c>
      <c r="F69" s="54">
        <v>10</v>
      </c>
      <c r="G69" s="49" t="s">
        <v>128</v>
      </c>
      <c r="H69" s="64" t="s">
        <v>93</v>
      </c>
      <c r="I69" s="50" t="s">
        <v>15</v>
      </c>
      <c r="J69" s="48" t="s">
        <v>175</v>
      </c>
      <c r="K69" s="6"/>
      <c r="L69" s="6">
        <v>12000000</v>
      </c>
      <c r="M69" s="6">
        <v>12000000</v>
      </c>
      <c r="N69" s="6"/>
      <c r="O69" s="6"/>
      <c r="P69" s="94">
        <f>K69-L69+M69-Q69-N69+O69</f>
        <v>0</v>
      </c>
      <c r="Q69" s="6"/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86">
        <v>0</v>
      </c>
      <c r="X69" s="36"/>
    </row>
    <row r="70" spans="1:24" s="35" customFormat="1" ht="12.75" customHeight="1">
      <c r="A70" s="42" t="s">
        <v>10</v>
      </c>
      <c r="B70" s="43" t="s">
        <v>17</v>
      </c>
      <c r="C70" s="43" t="s">
        <v>12</v>
      </c>
      <c r="D70" s="43" t="s">
        <v>19</v>
      </c>
      <c r="E70" s="51">
        <v>4</v>
      </c>
      <c r="F70" s="44"/>
      <c r="G70" s="44"/>
      <c r="H70" s="63"/>
      <c r="I70" s="45" t="s">
        <v>15</v>
      </c>
      <c r="J70" s="43" t="s">
        <v>111</v>
      </c>
      <c r="K70" s="4">
        <f>SUM(K71:K78)</f>
        <v>1573737210</v>
      </c>
      <c r="L70" s="4">
        <f>SUM(L71:L79)</f>
        <v>36349228</v>
      </c>
      <c r="M70" s="4">
        <f>SUM(M71:M79)</f>
        <v>356078886.67</v>
      </c>
      <c r="N70" s="4">
        <f>SUM(N71:N78)</f>
        <v>0</v>
      </c>
      <c r="O70" s="4">
        <f>SUM(O71:O78)</f>
        <v>0</v>
      </c>
      <c r="P70" s="100">
        <f aca="true" t="shared" si="15" ref="P70:V70">SUM(P71:P79)</f>
        <v>1893466868.67</v>
      </c>
      <c r="Q70" s="4">
        <f>SUM(Q71:Q78)</f>
        <v>0</v>
      </c>
      <c r="R70" s="4">
        <f t="shared" si="15"/>
        <v>1109773908.95</v>
      </c>
      <c r="S70" s="4">
        <f>SUM(S71:S79)</f>
        <v>1109773908.95</v>
      </c>
      <c r="T70" s="4">
        <f t="shared" si="15"/>
        <v>1109773908.95</v>
      </c>
      <c r="U70" s="4">
        <f t="shared" si="15"/>
        <v>1019636933.95</v>
      </c>
      <c r="V70" s="4">
        <f t="shared" si="15"/>
        <v>1019636933.95</v>
      </c>
      <c r="W70" s="87">
        <f t="shared" si="14"/>
        <v>0.5861068536834353</v>
      </c>
      <c r="X70" s="36"/>
    </row>
    <row r="71" spans="1:24" s="38" customFormat="1" ht="12.75" customHeight="1">
      <c r="A71" s="47" t="s">
        <v>10</v>
      </c>
      <c r="B71" s="48" t="s">
        <v>17</v>
      </c>
      <c r="C71" s="48" t="s">
        <v>12</v>
      </c>
      <c r="D71" s="48" t="s">
        <v>19</v>
      </c>
      <c r="E71" s="49" t="s">
        <v>19</v>
      </c>
      <c r="F71" s="49" t="s">
        <v>11</v>
      </c>
      <c r="G71" s="49" t="s">
        <v>13</v>
      </c>
      <c r="H71" s="64" t="s">
        <v>14</v>
      </c>
      <c r="I71" s="50" t="s">
        <v>15</v>
      </c>
      <c r="J71" s="48" t="s">
        <v>66</v>
      </c>
      <c r="K71" s="6">
        <v>34000000</v>
      </c>
      <c r="L71" s="6"/>
      <c r="M71" s="6"/>
      <c r="N71" s="6"/>
      <c r="O71" s="6"/>
      <c r="P71" s="94">
        <f aca="true" t="shared" si="16" ref="P71:P79">K71-L71+M71-Q71-N71+O71</f>
        <v>34000000</v>
      </c>
      <c r="Q71" s="6"/>
      <c r="R71" s="6">
        <v>31724819</v>
      </c>
      <c r="S71" s="6">
        <v>31724819</v>
      </c>
      <c r="T71" s="6">
        <v>31724819</v>
      </c>
      <c r="U71" s="6">
        <v>29718240</v>
      </c>
      <c r="V71" s="6">
        <v>29718240</v>
      </c>
      <c r="W71" s="86">
        <f t="shared" si="14"/>
        <v>0.9330829117647059</v>
      </c>
      <c r="X71" s="36"/>
    </row>
    <row r="72" spans="1:24" s="38" customFormat="1" ht="12.75" customHeight="1">
      <c r="A72" s="47" t="s">
        <v>10</v>
      </c>
      <c r="B72" s="48" t="s">
        <v>17</v>
      </c>
      <c r="C72" s="48" t="s">
        <v>12</v>
      </c>
      <c r="D72" s="48" t="s">
        <v>19</v>
      </c>
      <c r="E72" s="49" t="s">
        <v>19</v>
      </c>
      <c r="F72" s="49" t="s">
        <v>17</v>
      </c>
      <c r="G72" s="49" t="s">
        <v>13</v>
      </c>
      <c r="H72" s="64" t="s">
        <v>14</v>
      </c>
      <c r="I72" s="50" t="s">
        <v>15</v>
      </c>
      <c r="J72" s="48" t="s">
        <v>67</v>
      </c>
      <c r="K72" s="6">
        <v>150436012</v>
      </c>
      <c r="L72" s="6"/>
      <c r="M72" s="6"/>
      <c r="N72" s="6"/>
      <c r="O72" s="6"/>
      <c r="P72" s="94">
        <f t="shared" si="16"/>
        <v>150436012</v>
      </c>
      <c r="Q72" s="6"/>
      <c r="R72" s="6">
        <v>85290675</v>
      </c>
      <c r="S72" s="6">
        <v>85290675</v>
      </c>
      <c r="T72" s="6">
        <v>85290675</v>
      </c>
      <c r="U72" s="6">
        <v>85290675</v>
      </c>
      <c r="V72" s="6">
        <v>85290675</v>
      </c>
      <c r="W72" s="86">
        <f t="shared" si="14"/>
        <v>0.5669565010803397</v>
      </c>
      <c r="X72" s="36"/>
    </row>
    <row r="73" spans="1:24" s="38" customFormat="1" ht="12.75" customHeight="1">
      <c r="A73" s="47" t="s">
        <v>10</v>
      </c>
      <c r="B73" s="48" t="s">
        <v>17</v>
      </c>
      <c r="C73" s="48" t="s">
        <v>12</v>
      </c>
      <c r="D73" s="48" t="s">
        <v>19</v>
      </c>
      <c r="E73" s="49" t="s">
        <v>19</v>
      </c>
      <c r="F73" s="49" t="s">
        <v>17</v>
      </c>
      <c r="G73" s="49" t="s">
        <v>13</v>
      </c>
      <c r="H73" s="64" t="s">
        <v>93</v>
      </c>
      <c r="I73" s="50" t="s">
        <v>15</v>
      </c>
      <c r="J73" s="48" t="s">
        <v>67</v>
      </c>
      <c r="K73" s="6"/>
      <c r="L73" s="6"/>
      <c r="M73" s="6">
        <v>167000000</v>
      </c>
      <c r="N73" s="6"/>
      <c r="O73" s="6"/>
      <c r="P73" s="94">
        <f t="shared" si="16"/>
        <v>167000000</v>
      </c>
      <c r="Q73" s="6"/>
      <c r="R73" s="6">
        <v>14846325</v>
      </c>
      <c r="S73" s="6">
        <v>14846325</v>
      </c>
      <c r="T73" s="6">
        <v>14846325</v>
      </c>
      <c r="U73" s="6">
        <v>14846325</v>
      </c>
      <c r="V73" s="6">
        <v>14846325</v>
      </c>
      <c r="W73" s="86">
        <v>0</v>
      </c>
      <c r="X73" s="36"/>
    </row>
    <row r="74" spans="1:24" s="38" customFormat="1" ht="12.75" customHeight="1">
      <c r="A74" s="47" t="s">
        <v>10</v>
      </c>
      <c r="B74" s="48" t="s">
        <v>17</v>
      </c>
      <c r="C74" s="48" t="s">
        <v>12</v>
      </c>
      <c r="D74" s="48" t="s">
        <v>19</v>
      </c>
      <c r="E74" s="54">
        <v>4</v>
      </c>
      <c r="F74" s="54">
        <v>6</v>
      </c>
      <c r="G74" s="49" t="s">
        <v>13</v>
      </c>
      <c r="H74" s="64" t="s">
        <v>14</v>
      </c>
      <c r="I74" s="50" t="s">
        <v>15</v>
      </c>
      <c r="J74" s="48" t="s">
        <v>166</v>
      </c>
      <c r="K74" s="6">
        <v>7918000</v>
      </c>
      <c r="L74" s="6">
        <v>902000</v>
      </c>
      <c r="M74" s="6">
        <v>2582000</v>
      </c>
      <c r="N74" s="6"/>
      <c r="O74" s="6"/>
      <c r="P74" s="94">
        <f t="shared" si="16"/>
        <v>9598000</v>
      </c>
      <c r="Q74" s="6"/>
      <c r="R74" s="6">
        <v>9598000</v>
      </c>
      <c r="S74" s="6">
        <v>9598000</v>
      </c>
      <c r="T74" s="6">
        <v>9598000</v>
      </c>
      <c r="U74" s="6">
        <v>9598000</v>
      </c>
      <c r="V74" s="6">
        <v>9598000</v>
      </c>
      <c r="W74" s="86">
        <f aca="true" t="shared" si="17" ref="W74:W84">S74/P74</f>
        <v>1</v>
      </c>
      <c r="X74" s="36"/>
    </row>
    <row r="75" spans="1:24" s="38" customFormat="1" ht="12.75" customHeight="1">
      <c r="A75" s="47" t="s">
        <v>10</v>
      </c>
      <c r="B75" s="48" t="s">
        <v>17</v>
      </c>
      <c r="C75" s="48" t="s">
        <v>12</v>
      </c>
      <c r="D75" s="48" t="s">
        <v>19</v>
      </c>
      <c r="E75" s="54">
        <v>4</v>
      </c>
      <c r="F75" s="54">
        <v>9</v>
      </c>
      <c r="G75" s="49" t="s">
        <v>13</v>
      </c>
      <c r="H75" s="64" t="s">
        <v>14</v>
      </c>
      <c r="I75" s="50" t="s">
        <v>15</v>
      </c>
      <c r="J75" s="48" t="s">
        <v>168</v>
      </c>
      <c r="K75" s="6">
        <v>9750000</v>
      </c>
      <c r="L75" s="6"/>
      <c r="M75" s="6"/>
      <c r="N75" s="6"/>
      <c r="O75" s="6"/>
      <c r="P75" s="94">
        <f t="shared" si="16"/>
        <v>9750000</v>
      </c>
      <c r="Q75" s="6"/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86">
        <f t="shared" si="17"/>
        <v>0</v>
      </c>
      <c r="X75" s="36"/>
    </row>
    <row r="76" spans="1:24" s="38" customFormat="1" ht="12.75" customHeight="1">
      <c r="A76" s="47" t="s">
        <v>10</v>
      </c>
      <c r="B76" s="48" t="s">
        <v>17</v>
      </c>
      <c r="C76" s="48" t="s">
        <v>12</v>
      </c>
      <c r="D76" s="48" t="s">
        <v>19</v>
      </c>
      <c r="E76" s="49" t="s">
        <v>19</v>
      </c>
      <c r="F76" s="49" t="s">
        <v>25</v>
      </c>
      <c r="G76" s="49" t="s">
        <v>13</v>
      </c>
      <c r="H76" s="64" t="s">
        <v>14</v>
      </c>
      <c r="I76" s="50" t="s">
        <v>15</v>
      </c>
      <c r="J76" s="48" t="s">
        <v>68</v>
      </c>
      <c r="K76" s="6">
        <v>31500000</v>
      </c>
      <c r="L76" s="6"/>
      <c r="M76" s="6"/>
      <c r="N76" s="6"/>
      <c r="O76" s="6"/>
      <c r="P76" s="94">
        <f t="shared" si="16"/>
        <v>31500000</v>
      </c>
      <c r="Q76" s="6"/>
      <c r="R76" s="6">
        <v>27207583</v>
      </c>
      <c r="S76" s="6">
        <v>27207583</v>
      </c>
      <c r="T76" s="6">
        <v>27207583</v>
      </c>
      <c r="U76" s="6">
        <v>0</v>
      </c>
      <c r="V76" s="6">
        <v>0</v>
      </c>
      <c r="W76" s="86">
        <f t="shared" si="17"/>
        <v>0.8637327936507937</v>
      </c>
      <c r="X76" s="36"/>
    </row>
    <row r="77" spans="1:24" s="38" customFormat="1" ht="12.75" customHeight="1">
      <c r="A77" s="47" t="s">
        <v>10</v>
      </c>
      <c r="B77" s="48" t="s">
        <v>17</v>
      </c>
      <c r="C77" s="48" t="s">
        <v>12</v>
      </c>
      <c r="D77" s="48" t="s">
        <v>19</v>
      </c>
      <c r="E77" s="49" t="s">
        <v>19</v>
      </c>
      <c r="F77" s="49" t="s">
        <v>31</v>
      </c>
      <c r="G77" s="49" t="s">
        <v>13</v>
      </c>
      <c r="H77" s="64" t="s">
        <v>14</v>
      </c>
      <c r="I77" s="50" t="s">
        <v>15</v>
      </c>
      <c r="J77" s="48" t="s">
        <v>69</v>
      </c>
      <c r="K77" s="6">
        <v>130133198</v>
      </c>
      <c r="L77" s="6">
        <f>13000000+3000000+1000000+3000000+2582000+2003337</f>
        <v>24585337</v>
      </c>
      <c r="M77" s="6"/>
      <c r="N77" s="6"/>
      <c r="O77" s="6"/>
      <c r="P77" s="94">
        <f t="shared" si="16"/>
        <v>105547861</v>
      </c>
      <c r="Q77" s="6"/>
      <c r="R77" s="6">
        <v>76470673.75</v>
      </c>
      <c r="S77" s="6">
        <v>76470673.75</v>
      </c>
      <c r="T77" s="6">
        <v>76470673.75</v>
      </c>
      <c r="U77" s="6">
        <v>15547860.75</v>
      </c>
      <c r="V77" s="6">
        <v>15547860.75</v>
      </c>
      <c r="W77" s="86">
        <f t="shared" si="17"/>
        <v>0.7245118283353937</v>
      </c>
      <c r="X77" s="36"/>
    </row>
    <row r="78" spans="1:24" s="110" customFormat="1" ht="12.75" customHeight="1">
      <c r="A78" s="104" t="s">
        <v>10</v>
      </c>
      <c r="B78" s="105" t="s">
        <v>17</v>
      </c>
      <c r="C78" s="105" t="s">
        <v>12</v>
      </c>
      <c r="D78" s="105" t="s">
        <v>19</v>
      </c>
      <c r="E78" s="106" t="s">
        <v>19</v>
      </c>
      <c r="F78" s="106" t="s">
        <v>70</v>
      </c>
      <c r="G78" s="106" t="s">
        <v>13</v>
      </c>
      <c r="H78" s="107" t="s">
        <v>14</v>
      </c>
      <c r="I78" s="108" t="s">
        <v>15</v>
      </c>
      <c r="J78" s="105" t="s">
        <v>71</v>
      </c>
      <c r="K78" s="94">
        <v>1210000000</v>
      </c>
      <c r="L78" s="94">
        <v>2582000</v>
      </c>
      <c r="M78" s="94">
        <f>8500000+13000000+3000000+1000000+2582000+6094920+85883695.17+58156380.5</f>
        <v>178216995.67000002</v>
      </c>
      <c r="N78" s="94"/>
      <c r="O78" s="94"/>
      <c r="P78" s="94">
        <f t="shared" si="16"/>
        <v>1385634995.67</v>
      </c>
      <c r="Q78" s="94"/>
      <c r="R78" s="94">
        <v>864635833.2</v>
      </c>
      <c r="S78" s="94">
        <v>864635833.2</v>
      </c>
      <c r="T78" s="94">
        <v>864635833.2</v>
      </c>
      <c r="U78" s="94">
        <v>864635833.2</v>
      </c>
      <c r="V78" s="94">
        <v>864635833.2</v>
      </c>
      <c r="W78" s="109">
        <f t="shared" si="17"/>
        <v>0.6239997083661417</v>
      </c>
      <c r="X78" s="102"/>
    </row>
    <row r="79" spans="1:24" s="110" customFormat="1" ht="12.75" customHeight="1">
      <c r="A79" s="104" t="s">
        <v>10</v>
      </c>
      <c r="B79" s="105" t="s">
        <v>17</v>
      </c>
      <c r="C79" s="105" t="s">
        <v>12</v>
      </c>
      <c r="D79" s="105" t="s">
        <v>19</v>
      </c>
      <c r="E79" s="106" t="s">
        <v>19</v>
      </c>
      <c r="F79" s="106" t="s">
        <v>70</v>
      </c>
      <c r="G79" s="106" t="s">
        <v>128</v>
      </c>
      <c r="H79" s="107" t="s">
        <v>93</v>
      </c>
      <c r="I79" s="108" t="s">
        <v>15</v>
      </c>
      <c r="J79" s="105" t="s">
        <v>71</v>
      </c>
      <c r="K79" s="94"/>
      <c r="L79" s="94">
        <v>8279891</v>
      </c>
      <c r="M79" s="94">
        <v>8279891</v>
      </c>
      <c r="N79" s="94"/>
      <c r="O79" s="94"/>
      <c r="P79" s="94">
        <f t="shared" si="16"/>
        <v>0</v>
      </c>
      <c r="Q79" s="94"/>
      <c r="R79" s="94">
        <v>0</v>
      </c>
      <c r="S79" s="94">
        <v>0</v>
      </c>
      <c r="T79" s="94">
        <v>0</v>
      </c>
      <c r="U79" s="94">
        <v>0</v>
      </c>
      <c r="V79" s="94">
        <v>0</v>
      </c>
      <c r="W79" s="109">
        <v>0</v>
      </c>
      <c r="X79" s="102"/>
    </row>
    <row r="80" spans="1:24" s="35" customFormat="1" ht="12.75" customHeight="1">
      <c r="A80" s="42" t="s">
        <v>10</v>
      </c>
      <c r="B80" s="43" t="s">
        <v>17</v>
      </c>
      <c r="C80" s="43" t="s">
        <v>12</v>
      </c>
      <c r="D80" s="43" t="s">
        <v>19</v>
      </c>
      <c r="E80" s="51">
        <v>5</v>
      </c>
      <c r="F80" s="44"/>
      <c r="G80" s="44"/>
      <c r="H80" s="63"/>
      <c r="I80" s="45" t="s">
        <v>15</v>
      </c>
      <c r="J80" s="43" t="s">
        <v>112</v>
      </c>
      <c r="K80" s="4">
        <f>SUM(K81:K95)</f>
        <v>6968566453</v>
      </c>
      <c r="L80" s="4">
        <f>SUM(L81:L95)</f>
        <v>2021164315.35</v>
      </c>
      <c r="M80" s="4">
        <f>SUM(M81,M82,M92,M95,M84,M90,M93+M85+M86+M87+M89)</f>
        <v>1492308226.35</v>
      </c>
      <c r="N80" s="4">
        <f>SUM(N81:N93)</f>
        <v>444300000</v>
      </c>
      <c r="O80" s="4">
        <f>SUM(O81:O93)</f>
        <v>0</v>
      </c>
      <c r="P80" s="100">
        <f>SUM(P81:P95)+Q80</f>
        <v>5995410364</v>
      </c>
      <c r="Q80" s="4">
        <f>SUM(Q81:Q93)</f>
        <v>0</v>
      </c>
      <c r="R80" s="4">
        <f>SUM(R81:R95)</f>
        <v>5523808704.62</v>
      </c>
      <c r="S80" s="4">
        <f>SUM(S81:S95)</f>
        <v>5523808704.62</v>
      </c>
      <c r="T80" s="4">
        <f>SUM(T81:T95)</f>
        <v>5523808704.62</v>
      </c>
      <c r="U80" s="4">
        <f>SUM(U81:U95)</f>
        <v>4918015722.68</v>
      </c>
      <c r="V80" s="4">
        <f>SUM(V81:V95)</f>
        <v>4918015722.68</v>
      </c>
      <c r="W80" s="87">
        <f t="shared" si="17"/>
        <v>0.9213395529667533</v>
      </c>
      <c r="X80" s="36"/>
    </row>
    <row r="81" spans="1:24" s="110" customFormat="1" ht="12.75" customHeight="1">
      <c r="A81" s="104" t="s">
        <v>10</v>
      </c>
      <c r="B81" s="105" t="s">
        <v>17</v>
      </c>
      <c r="C81" s="105" t="s">
        <v>12</v>
      </c>
      <c r="D81" s="105" t="s">
        <v>19</v>
      </c>
      <c r="E81" s="106" t="s">
        <v>22</v>
      </c>
      <c r="F81" s="106" t="s">
        <v>11</v>
      </c>
      <c r="G81" s="106" t="s">
        <v>13</v>
      </c>
      <c r="H81" s="107" t="s">
        <v>14</v>
      </c>
      <c r="I81" s="108" t="s">
        <v>15</v>
      </c>
      <c r="J81" s="105" t="s">
        <v>72</v>
      </c>
      <c r="K81" s="94">
        <v>444000000</v>
      </c>
      <c r="L81" s="94"/>
      <c r="M81" s="94">
        <f>500000+500000+2500000</f>
        <v>3500000</v>
      </c>
      <c r="N81" s="94">
        <v>444300000</v>
      </c>
      <c r="O81" s="94"/>
      <c r="P81" s="94">
        <f>K81-L81+M81-N81</f>
        <v>3200000</v>
      </c>
      <c r="Q81" s="94">
        <v>0</v>
      </c>
      <c r="R81" s="94">
        <v>867832</v>
      </c>
      <c r="S81" s="94">
        <v>867832</v>
      </c>
      <c r="T81" s="94">
        <v>867832</v>
      </c>
      <c r="U81" s="94">
        <v>867832</v>
      </c>
      <c r="V81" s="94">
        <v>867832</v>
      </c>
      <c r="W81" s="109">
        <f t="shared" si="17"/>
        <v>0.2711975</v>
      </c>
      <c r="X81" s="102"/>
    </row>
    <row r="82" spans="1:24" s="38" customFormat="1" ht="12.75" customHeight="1">
      <c r="A82" s="47" t="s">
        <v>10</v>
      </c>
      <c r="B82" s="48" t="s">
        <v>17</v>
      </c>
      <c r="C82" s="48" t="s">
        <v>12</v>
      </c>
      <c r="D82" s="48" t="s">
        <v>19</v>
      </c>
      <c r="E82" s="49" t="s">
        <v>22</v>
      </c>
      <c r="F82" s="49" t="s">
        <v>11</v>
      </c>
      <c r="G82" s="49" t="s">
        <v>13</v>
      </c>
      <c r="H82" s="64" t="s">
        <v>93</v>
      </c>
      <c r="I82" s="50" t="s">
        <v>15</v>
      </c>
      <c r="J82" s="48" t="s">
        <v>72</v>
      </c>
      <c r="K82" s="6">
        <v>0</v>
      </c>
      <c r="L82" s="6">
        <f>91294069.05+13086000+43930187+42812000+251000000+8000000+38456102.95+156849453+30000000+12655165</f>
        <v>688082977</v>
      </c>
      <c r="M82" s="94">
        <f>444300000+358140336+8000000</f>
        <v>810440336</v>
      </c>
      <c r="N82" s="6"/>
      <c r="O82" s="6"/>
      <c r="P82" s="94">
        <f aca="true" t="shared" si="18" ref="P82:P95">K82-L82+M82-Q82-N82+O82</f>
        <v>122357359</v>
      </c>
      <c r="Q82" s="6"/>
      <c r="R82" s="6">
        <v>99918713.86</v>
      </c>
      <c r="S82" s="6">
        <v>99918713.86</v>
      </c>
      <c r="T82" s="6">
        <v>99918713.86</v>
      </c>
      <c r="U82" s="6">
        <v>93545365</v>
      </c>
      <c r="V82" s="6">
        <v>93545365</v>
      </c>
      <c r="W82" s="86">
        <f t="shared" si="17"/>
        <v>0.816613848783709</v>
      </c>
      <c r="X82" s="36"/>
    </row>
    <row r="83" spans="1:24" s="38" customFormat="1" ht="12.75" customHeight="1">
      <c r="A83" s="47" t="s">
        <v>10</v>
      </c>
      <c r="B83" s="48" t="s">
        <v>17</v>
      </c>
      <c r="C83" s="48" t="s">
        <v>12</v>
      </c>
      <c r="D83" s="48" t="s">
        <v>19</v>
      </c>
      <c r="E83" s="49" t="s">
        <v>22</v>
      </c>
      <c r="F83" s="49" t="s">
        <v>17</v>
      </c>
      <c r="G83" s="49" t="s">
        <v>13</v>
      </c>
      <c r="H83" s="64" t="s">
        <v>14</v>
      </c>
      <c r="I83" s="50" t="s">
        <v>15</v>
      </c>
      <c r="J83" s="92" t="s">
        <v>73</v>
      </c>
      <c r="K83" s="6">
        <v>372918315</v>
      </c>
      <c r="L83" s="6">
        <f>1560000+148908315+2500000+8630000</f>
        <v>161598315</v>
      </c>
      <c r="M83" s="6"/>
      <c r="N83" s="6"/>
      <c r="O83" s="6"/>
      <c r="P83" s="94">
        <f t="shared" si="18"/>
        <v>211320000</v>
      </c>
      <c r="Q83" s="6"/>
      <c r="R83" s="6">
        <v>88178309</v>
      </c>
      <c r="S83" s="6">
        <v>88178309</v>
      </c>
      <c r="T83" s="6">
        <v>88178309</v>
      </c>
      <c r="U83" s="6">
        <v>10440000</v>
      </c>
      <c r="V83" s="6">
        <v>10440000</v>
      </c>
      <c r="W83" s="86">
        <f t="shared" si="17"/>
        <v>0.4172738453530191</v>
      </c>
      <c r="X83" s="36"/>
    </row>
    <row r="84" spans="1:24" s="38" customFormat="1" ht="12.75" customHeight="1">
      <c r="A84" s="47" t="s">
        <v>10</v>
      </c>
      <c r="B84" s="48" t="s">
        <v>17</v>
      </c>
      <c r="C84" s="48" t="s">
        <v>12</v>
      </c>
      <c r="D84" s="48" t="s">
        <v>19</v>
      </c>
      <c r="E84" s="49" t="s">
        <v>22</v>
      </c>
      <c r="F84" s="49" t="s">
        <v>17</v>
      </c>
      <c r="G84" s="49" t="s">
        <v>128</v>
      </c>
      <c r="H84" s="64" t="s">
        <v>93</v>
      </c>
      <c r="I84" s="50" t="s">
        <v>15</v>
      </c>
      <c r="J84" s="92" t="s">
        <v>73</v>
      </c>
      <c r="K84" s="6"/>
      <c r="L84" s="6">
        <v>8000000</v>
      </c>
      <c r="M84" s="6">
        <f>13086000+8000000</f>
        <v>21086000</v>
      </c>
      <c r="N84" s="6"/>
      <c r="O84" s="6"/>
      <c r="P84" s="94">
        <f t="shared" si="18"/>
        <v>13086000</v>
      </c>
      <c r="Q84" s="6"/>
      <c r="R84" s="6">
        <v>6587786</v>
      </c>
      <c r="S84" s="6">
        <v>6587786</v>
      </c>
      <c r="T84" s="6">
        <v>6587786</v>
      </c>
      <c r="U84" s="6">
        <v>2855986</v>
      </c>
      <c r="V84" s="6">
        <v>2855986</v>
      </c>
      <c r="W84" s="86">
        <f t="shared" si="17"/>
        <v>0.5034224361913495</v>
      </c>
      <c r="X84" s="36"/>
    </row>
    <row r="85" spans="1:24" s="38" customFormat="1" ht="12.75" customHeight="1">
      <c r="A85" s="47" t="s">
        <v>10</v>
      </c>
      <c r="B85" s="48" t="s">
        <v>17</v>
      </c>
      <c r="C85" s="48" t="s">
        <v>12</v>
      </c>
      <c r="D85" s="48" t="s">
        <v>19</v>
      </c>
      <c r="E85" s="49" t="s">
        <v>22</v>
      </c>
      <c r="F85" s="49" t="s">
        <v>22</v>
      </c>
      <c r="G85" s="49" t="s">
        <v>13</v>
      </c>
      <c r="H85" s="64" t="s">
        <v>14</v>
      </c>
      <c r="I85" s="50" t="s">
        <v>15</v>
      </c>
      <c r="J85" s="92" t="s">
        <v>74</v>
      </c>
      <c r="K85" s="6">
        <v>2034982779</v>
      </c>
      <c r="L85" s="6"/>
      <c r="M85" s="6">
        <f>8279891+1560000+84932595+6221600</f>
        <v>100994086</v>
      </c>
      <c r="N85" s="6"/>
      <c r="O85" s="6"/>
      <c r="P85" s="94">
        <f t="shared" si="18"/>
        <v>2135976865</v>
      </c>
      <c r="Q85" s="6"/>
      <c r="R85" s="6">
        <v>2075180240</v>
      </c>
      <c r="S85" s="6">
        <v>2075180240</v>
      </c>
      <c r="T85" s="6">
        <v>2075180240</v>
      </c>
      <c r="U85" s="6">
        <v>1938388450</v>
      </c>
      <c r="V85" s="6">
        <v>1938388450</v>
      </c>
      <c r="W85" s="86">
        <f aca="true" t="shared" si="19" ref="W85:W99">S85/P85</f>
        <v>0.9715368522963848</v>
      </c>
      <c r="X85" s="36"/>
    </row>
    <row r="86" spans="1:24" s="38" customFormat="1" ht="12.75" customHeight="1">
      <c r="A86" s="47" t="s">
        <v>10</v>
      </c>
      <c r="B86" s="48" t="s">
        <v>17</v>
      </c>
      <c r="C86" s="48" t="s">
        <v>12</v>
      </c>
      <c r="D86" s="48" t="s">
        <v>19</v>
      </c>
      <c r="E86" s="49" t="s">
        <v>22</v>
      </c>
      <c r="F86" s="49" t="s">
        <v>22</v>
      </c>
      <c r="G86" s="49" t="s">
        <v>13</v>
      </c>
      <c r="H86" s="64" t="s">
        <v>129</v>
      </c>
      <c r="I86" s="50" t="s">
        <v>15</v>
      </c>
      <c r="J86" s="92" t="s">
        <v>74</v>
      </c>
      <c r="K86" s="6"/>
      <c r="L86" s="6"/>
      <c r="M86" s="6">
        <v>114862</v>
      </c>
      <c r="N86" s="6"/>
      <c r="O86" s="6"/>
      <c r="P86" s="94">
        <f t="shared" si="18"/>
        <v>114862</v>
      </c>
      <c r="Q86" s="6"/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86">
        <f t="shared" si="19"/>
        <v>0</v>
      </c>
      <c r="X86" s="36"/>
    </row>
    <row r="87" spans="1:24" s="110" customFormat="1" ht="12.75" customHeight="1">
      <c r="A87" s="104" t="s">
        <v>10</v>
      </c>
      <c r="B87" s="105" t="s">
        <v>17</v>
      </c>
      <c r="C87" s="105" t="s">
        <v>12</v>
      </c>
      <c r="D87" s="105" t="s">
        <v>19</v>
      </c>
      <c r="E87" s="106" t="s">
        <v>22</v>
      </c>
      <c r="F87" s="106" t="s">
        <v>22</v>
      </c>
      <c r="G87" s="106" t="s">
        <v>128</v>
      </c>
      <c r="H87" s="107" t="s">
        <v>93</v>
      </c>
      <c r="I87" s="108" t="s">
        <v>15</v>
      </c>
      <c r="J87" s="111" t="s">
        <v>74</v>
      </c>
      <c r="K87" s="94">
        <v>972775623</v>
      </c>
      <c r="L87" s="94">
        <f>444300000+80234000+16101287+16605587+57394413+358140336</f>
        <v>972775623</v>
      </c>
      <c r="M87" s="94">
        <f>23682042+8279891</f>
        <v>31961933</v>
      </c>
      <c r="N87" s="94"/>
      <c r="O87" s="94"/>
      <c r="P87" s="94">
        <f t="shared" si="18"/>
        <v>31961933</v>
      </c>
      <c r="Q87" s="94"/>
      <c r="R87" s="94">
        <v>15474121</v>
      </c>
      <c r="S87" s="94">
        <v>15474121</v>
      </c>
      <c r="T87" s="94">
        <v>15474121</v>
      </c>
      <c r="U87" s="94">
        <v>0</v>
      </c>
      <c r="V87" s="94">
        <v>0</v>
      </c>
      <c r="W87" s="86">
        <f t="shared" si="19"/>
        <v>0.4841422138016496</v>
      </c>
      <c r="X87" s="102"/>
    </row>
    <row r="88" spans="1:24" s="38" customFormat="1" ht="12.75" customHeight="1">
      <c r="A88" s="47" t="s">
        <v>10</v>
      </c>
      <c r="B88" s="48" t="s">
        <v>17</v>
      </c>
      <c r="C88" s="48" t="s">
        <v>12</v>
      </c>
      <c r="D88" s="48" t="s">
        <v>19</v>
      </c>
      <c r="E88" s="49" t="s">
        <v>22</v>
      </c>
      <c r="F88" s="49" t="s">
        <v>55</v>
      </c>
      <c r="G88" s="49" t="s">
        <v>13</v>
      </c>
      <c r="H88" s="64" t="s">
        <v>14</v>
      </c>
      <c r="I88" s="50" t="s">
        <v>15</v>
      </c>
      <c r="J88" s="92" t="s">
        <v>75</v>
      </c>
      <c r="K88" s="6">
        <v>40000000</v>
      </c>
      <c r="L88" s="6"/>
      <c r="M88" s="6"/>
      <c r="N88" s="6"/>
      <c r="O88" s="6"/>
      <c r="P88" s="94">
        <f t="shared" si="18"/>
        <v>40000000</v>
      </c>
      <c r="Q88" s="6"/>
      <c r="R88" s="6">
        <v>39999817</v>
      </c>
      <c r="S88" s="6">
        <v>39999817</v>
      </c>
      <c r="T88" s="6">
        <v>39999817</v>
      </c>
      <c r="U88" s="6">
        <v>39999817</v>
      </c>
      <c r="V88" s="6">
        <v>39999817</v>
      </c>
      <c r="W88" s="86">
        <f t="shared" si="19"/>
        <v>0.999995425</v>
      </c>
      <c r="X88" s="36"/>
    </row>
    <row r="89" spans="1:24" s="38" customFormat="1" ht="12.75" customHeight="1">
      <c r="A89" s="47" t="s">
        <v>10</v>
      </c>
      <c r="B89" s="48" t="s">
        <v>17</v>
      </c>
      <c r="C89" s="48" t="s">
        <v>12</v>
      </c>
      <c r="D89" s="48" t="s">
        <v>19</v>
      </c>
      <c r="E89" s="49" t="s">
        <v>22</v>
      </c>
      <c r="F89" s="49" t="s">
        <v>62</v>
      </c>
      <c r="G89" s="49" t="s">
        <v>13</v>
      </c>
      <c r="H89" s="64" t="s">
        <v>14</v>
      </c>
      <c r="I89" s="50" t="s">
        <v>15</v>
      </c>
      <c r="J89" s="52" t="s">
        <v>76</v>
      </c>
      <c r="K89" s="6">
        <v>755330569</v>
      </c>
      <c r="L89" s="6">
        <f>50750547+17148732</f>
        <v>67899279</v>
      </c>
      <c r="M89" s="6">
        <f>2003337+902000+135031948</f>
        <v>137937285</v>
      </c>
      <c r="N89" s="6"/>
      <c r="O89" s="6"/>
      <c r="P89" s="94">
        <f t="shared" si="18"/>
        <v>825368575</v>
      </c>
      <c r="Q89" s="6"/>
      <c r="R89" s="6">
        <v>754983883.5</v>
      </c>
      <c r="S89" s="6">
        <v>754983883.5</v>
      </c>
      <c r="T89" s="6">
        <v>754983883.5</v>
      </c>
      <c r="U89" s="6">
        <v>622888637.73</v>
      </c>
      <c r="V89" s="6">
        <v>622888637.73</v>
      </c>
      <c r="W89" s="86">
        <f t="shared" si="19"/>
        <v>0.9147233204268772</v>
      </c>
      <c r="X89" s="36"/>
    </row>
    <row r="90" spans="1:24" s="38" customFormat="1" ht="12.75" customHeight="1">
      <c r="A90" s="47" t="s">
        <v>10</v>
      </c>
      <c r="B90" s="48" t="s">
        <v>17</v>
      </c>
      <c r="C90" s="48" t="s">
        <v>12</v>
      </c>
      <c r="D90" s="48" t="s">
        <v>19</v>
      </c>
      <c r="E90" s="49" t="s">
        <v>22</v>
      </c>
      <c r="F90" s="49" t="s">
        <v>62</v>
      </c>
      <c r="G90" s="49" t="s">
        <v>13</v>
      </c>
      <c r="H90" s="64" t="s">
        <v>93</v>
      </c>
      <c r="I90" s="50" t="s">
        <v>15</v>
      </c>
      <c r="J90" s="52" t="s">
        <v>76</v>
      </c>
      <c r="K90" s="6"/>
      <c r="L90" s="6"/>
      <c r="M90" s="6">
        <f>43930187+38456102.95+9997326.35+12000000</f>
        <v>104383616.3</v>
      </c>
      <c r="N90" s="6"/>
      <c r="O90" s="6"/>
      <c r="P90" s="94">
        <f t="shared" si="18"/>
        <v>104383616.3</v>
      </c>
      <c r="Q90" s="6"/>
      <c r="R90" s="6">
        <v>1776723.31</v>
      </c>
      <c r="S90" s="6">
        <v>1776723.31</v>
      </c>
      <c r="T90" s="6">
        <v>1776723.31</v>
      </c>
      <c r="U90" s="6">
        <v>0</v>
      </c>
      <c r="V90" s="6">
        <v>0</v>
      </c>
      <c r="W90" s="86">
        <f t="shared" si="19"/>
        <v>0.01702109366371895</v>
      </c>
      <c r="X90" s="36"/>
    </row>
    <row r="91" spans="1:24" s="110" customFormat="1" ht="12" customHeight="1">
      <c r="A91" s="104" t="s">
        <v>10</v>
      </c>
      <c r="B91" s="105" t="s">
        <v>17</v>
      </c>
      <c r="C91" s="105" t="s">
        <v>12</v>
      </c>
      <c r="D91" s="105" t="s">
        <v>19</v>
      </c>
      <c r="E91" s="106" t="s">
        <v>22</v>
      </c>
      <c r="F91" s="106" t="s">
        <v>14</v>
      </c>
      <c r="G91" s="106" t="s">
        <v>13</v>
      </c>
      <c r="H91" s="107" t="s">
        <v>14</v>
      </c>
      <c r="I91" s="108" t="s">
        <v>15</v>
      </c>
      <c r="J91" s="105" t="s">
        <v>77</v>
      </c>
      <c r="K91" s="94">
        <v>1442265089</v>
      </c>
      <c r="L91" s="94">
        <f>79734000+500000+500000</f>
        <v>80734000</v>
      </c>
      <c r="M91" s="94"/>
      <c r="N91" s="94"/>
      <c r="O91" s="94"/>
      <c r="P91" s="94">
        <f t="shared" si="18"/>
        <v>1361531089</v>
      </c>
      <c r="Q91" s="94"/>
      <c r="R91" s="94">
        <v>1345536499.95</v>
      </c>
      <c r="S91" s="94">
        <v>1345536499.95</v>
      </c>
      <c r="T91" s="94">
        <v>1345536499.95</v>
      </c>
      <c r="U91" s="94">
        <v>1297385583.95</v>
      </c>
      <c r="V91" s="94">
        <v>1297385583.95</v>
      </c>
      <c r="W91" s="109">
        <f t="shared" si="19"/>
        <v>0.9882524981036258</v>
      </c>
      <c r="X91" s="102"/>
    </row>
    <row r="92" spans="1:24" s="110" customFormat="1" ht="12" customHeight="1">
      <c r="A92" s="104" t="s">
        <v>10</v>
      </c>
      <c r="B92" s="105" t="s">
        <v>17</v>
      </c>
      <c r="C92" s="105" t="s">
        <v>12</v>
      </c>
      <c r="D92" s="105" t="s">
        <v>19</v>
      </c>
      <c r="E92" s="106" t="s">
        <v>22</v>
      </c>
      <c r="F92" s="106" t="s">
        <v>14</v>
      </c>
      <c r="G92" s="106" t="s">
        <v>128</v>
      </c>
      <c r="H92" s="107" t="s">
        <v>93</v>
      </c>
      <c r="I92" s="108" t="s">
        <v>15</v>
      </c>
      <c r="J92" s="105" t="s">
        <v>77</v>
      </c>
      <c r="K92" s="94">
        <v>0</v>
      </c>
      <c r="L92" s="94">
        <v>9997326.35</v>
      </c>
      <c r="M92" s="94">
        <f>80234000+91294069.05+30000000+12655165</f>
        <v>214183234.05</v>
      </c>
      <c r="N92" s="94"/>
      <c r="O92" s="94"/>
      <c r="P92" s="94">
        <f t="shared" si="18"/>
        <v>204185907.70000002</v>
      </c>
      <c r="Q92" s="94"/>
      <c r="R92" s="94">
        <v>167786320</v>
      </c>
      <c r="S92" s="94">
        <v>167786320</v>
      </c>
      <c r="T92" s="94">
        <v>167786320</v>
      </c>
      <c r="U92" s="94">
        <v>129341677</v>
      </c>
      <c r="V92" s="94">
        <v>129341677</v>
      </c>
      <c r="W92" s="109">
        <f t="shared" si="19"/>
        <v>0.8217331053351631</v>
      </c>
      <c r="X92" s="102"/>
    </row>
    <row r="93" spans="1:24" s="38" customFormat="1" ht="12" customHeight="1">
      <c r="A93" s="47" t="s">
        <v>10</v>
      </c>
      <c r="B93" s="48" t="s">
        <v>17</v>
      </c>
      <c r="C93" s="48" t="s">
        <v>12</v>
      </c>
      <c r="D93" s="48" t="s">
        <v>19</v>
      </c>
      <c r="E93" s="49" t="s">
        <v>22</v>
      </c>
      <c r="F93" s="49" t="s">
        <v>27</v>
      </c>
      <c r="G93" s="49" t="s">
        <v>13</v>
      </c>
      <c r="H93" s="64" t="s">
        <v>14</v>
      </c>
      <c r="I93" s="50" t="s">
        <v>15</v>
      </c>
      <c r="J93" s="48" t="s">
        <v>78</v>
      </c>
      <c r="K93" s="6">
        <v>246266330</v>
      </c>
      <c r="L93" s="6">
        <v>8279891</v>
      </c>
      <c r="M93" s="6">
        <f>35000000</f>
        <v>35000000</v>
      </c>
      <c r="N93" s="6"/>
      <c r="O93" s="6"/>
      <c r="P93" s="94">
        <f t="shared" si="18"/>
        <v>272986439</v>
      </c>
      <c r="Q93" s="6"/>
      <c r="R93" s="6">
        <v>263555072</v>
      </c>
      <c r="S93" s="6">
        <v>263555072</v>
      </c>
      <c r="T93" s="6">
        <v>263555072</v>
      </c>
      <c r="U93" s="6">
        <v>239242507</v>
      </c>
      <c r="V93" s="6">
        <v>239242507</v>
      </c>
      <c r="W93" s="86">
        <f t="shared" si="19"/>
        <v>0.9654511519526433</v>
      </c>
      <c r="X93" s="36"/>
    </row>
    <row r="94" spans="1:24" s="38" customFormat="1" ht="12" customHeight="1">
      <c r="A94" s="47" t="s">
        <v>10</v>
      </c>
      <c r="B94" s="48" t="s">
        <v>17</v>
      </c>
      <c r="C94" s="48" t="s">
        <v>12</v>
      </c>
      <c r="D94" s="48" t="s">
        <v>19</v>
      </c>
      <c r="E94" s="49" t="s">
        <v>22</v>
      </c>
      <c r="F94" s="49" t="s">
        <v>27</v>
      </c>
      <c r="G94" s="49" t="s">
        <v>128</v>
      </c>
      <c r="H94" s="64" t="s">
        <v>129</v>
      </c>
      <c r="I94" s="50" t="s">
        <v>15</v>
      </c>
      <c r="J94" s="48" t="s">
        <v>78</v>
      </c>
      <c r="K94" s="6">
        <v>499584920</v>
      </c>
      <c r="L94" s="6">
        <v>114862</v>
      </c>
      <c r="M94" s="6"/>
      <c r="N94" s="6"/>
      <c r="O94" s="6"/>
      <c r="P94" s="94">
        <f t="shared" si="18"/>
        <v>499470058</v>
      </c>
      <c r="Q94" s="6"/>
      <c r="R94" s="6">
        <v>494495727</v>
      </c>
      <c r="S94" s="6">
        <v>494495727</v>
      </c>
      <c r="T94" s="6">
        <v>494495727</v>
      </c>
      <c r="U94" s="6">
        <v>450839867</v>
      </c>
      <c r="V94" s="6">
        <v>450839867</v>
      </c>
      <c r="W94" s="86">
        <f t="shared" si="19"/>
        <v>0.9900407823845969</v>
      </c>
      <c r="X94" s="36"/>
    </row>
    <row r="95" spans="1:24" s="110" customFormat="1" ht="12" customHeight="1">
      <c r="A95" s="104" t="s">
        <v>10</v>
      </c>
      <c r="B95" s="105" t="s">
        <v>17</v>
      </c>
      <c r="C95" s="105" t="s">
        <v>12</v>
      </c>
      <c r="D95" s="105" t="s">
        <v>19</v>
      </c>
      <c r="E95" s="106" t="s">
        <v>22</v>
      </c>
      <c r="F95" s="106" t="s">
        <v>27</v>
      </c>
      <c r="G95" s="106" t="s">
        <v>128</v>
      </c>
      <c r="H95" s="107" t="s">
        <v>93</v>
      </c>
      <c r="I95" s="108" t="s">
        <v>15</v>
      </c>
      <c r="J95" s="105" t="s">
        <v>78</v>
      </c>
      <c r="K95" s="94">
        <v>160442828</v>
      </c>
      <c r="L95" s="94">
        <v>23682042</v>
      </c>
      <c r="M95" s="94">
        <f>16101287+16605587</f>
        <v>32706874</v>
      </c>
      <c r="N95" s="94"/>
      <c r="O95" s="94"/>
      <c r="P95" s="94">
        <f t="shared" si="18"/>
        <v>169467660</v>
      </c>
      <c r="Q95" s="94"/>
      <c r="R95" s="94">
        <v>169467660</v>
      </c>
      <c r="S95" s="94">
        <v>169467660</v>
      </c>
      <c r="T95" s="94">
        <v>169467660</v>
      </c>
      <c r="U95" s="94">
        <v>92220000</v>
      </c>
      <c r="V95" s="94">
        <v>92220000</v>
      </c>
      <c r="W95" s="109">
        <f t="shared" si="19"/>
        <v>1</v>
      </c>
      <c r="X95" s="102"/>
    </row>
    <row r="96" spans="1:24" s="35" customFormat="1" ht="13.5" customHeight="1">
      <c r="A96" s="42" t="s">
        <v>10</v>
      </c>
      <c r="B96" s="43" t="s">
        <v>17</v>
      </c>
      <c r="C96" s="43" t="s">
        <v>12</v>
      </c>
      <c r="D96" s="43" t="s">
        <v>19</v>
      </c>
      <c r="E96" s="51">
        <v>6</v>
      </c>
      <c r="F96" s="44"/>
      <c r="G96" s="44"/>
      <c r="H96" s="63"/>
      <c r="I96" s="45" t="s">
        <v>15</v>
      </c>
      <c r="J96" s="43" t="s">
        <v>113</v>
      </c>
      <c r="K96" s="4">
        <f aca="true" t="shared" si="20" ref="K96:V96">SUM(K97:K100)</f>
        <v>947623765</v>
      </c>
      <c r="L96" s="4">
        <f>SUM(L97:L100)</f>
        <v>147084112</v>
      </c>
      <c r="M96" s="4">
        <f t="shared" si="20"/>
        <v>62000000</v>
      </c>
      <c r="N96" s="4">
        <f t="shared" si="20"/>
        <v>16101287</v>
      </c>
      <c r="O96" s="4">
        <f t="shared" si="20"/>
        <v>0</v>
      </c>
      <c r="P96" s="100">
        <f>SUM(P97:P100)+Q96</f>
        <v>846438366</v>
      </c>
      <c r="Q96" s="4">
        <f>SUM(Q97:Q100)</f>
        <v>0</v>
      </c>
      <c r="R96" s="4">
        <f t="shared" si="20"/>
        <v>828564640.62</v>
      </c>
      <c r="S96" s="4">
        <f>SUM(S97:S100)</f>
        <v>828564640.62</v>
      </c>
      <c r="T96" s="4">
        <f t="shared" si="20"/>
        <v>828564640.62</v>
      </c>
      <c r="U96" s="4">
        <f t="shared" si="20"/>
        <v>730620049.62</v>
      </c>
      <c r="V96" s="4">
        <f t="shared" si="20"/>
        <v>730620049.62</v>
      </c>
      <c r="W96" s="86">
        <f t="shared" si="19"/>
        <v>0.9788836067716713</v>
      </c>
      <c r="X96" s="36"/>
    </row>
    <row r="97" spans="1:24" s="38" customFormat="1" ht="12" customHeight="1">
      <c r="A97" s="47" t="s">
        <v>10</v>
      </c>
      <c r="B97" s="48" t="s">
        <v>17</v>
      </c>
      <c r="C97" s="48" t="s">
        <v>12</v>
      </c>
      <c r="D97" s="48" t="s">
        <v>19</v>
      </c>
      <c r="E97" s="49" t="s">
        <v>55</v>
      </c>
      <c r="F97" s="49" t="s">
        <v>17</v>
      </c>
      <c r="G97" s="49" t="s">
        <v>13</v>
      </c>
      <c r="H97" s="64" t="s">
        <v>14</v>
      </c>
      <c r="I97" s="50" t="s">
        <v>15</v>
      </c>
      <c r="J97" s="48" t="s">
        <v>79</v>
      </c>
      <c r="K97" s="6">
        <v>110000000</v>
      </c>
      <c r="L97" s="6"/>
      <c r="M97" s="6">
        <v>7000000</v>
      </c>
      <c r="N97" s="6"/>
      <c r="O97" s="6"/>
      <c r="P97" s="94">
        <f>K97-L97+M97-Q97-N97+O97</f>
        <v>117000000</v>
      </c>
      <c r="Q97" s="6"/>
      <c r="R97" s="6">
        <v>110000000</v>
      </c>
      <c r="S97" s="6">
        <v>110000000</v>
      </c>
      <c r="T97" s="6">
        <v>110000000</v>
      </c>
      <c r="U97" s="6">
        <v>101772733</v>
      </c>
      <c r="V97" s="6">
        <v>101772733</v>
      </c>
      <c r="W97" s="86">
        <f t="shared" si="19"/>
        <v>0.9401709401709402</v>
      </c>
      <c r="X97" s="36"/>
    </row>
    <row r="98" spans="1:24" s="38" customFormat="1" ht="12" customHeight="1">
      <c r="A98" s="47" t="s">
        <v>10</v>
      </c>
      <c r="B98" s="48" t="s">
        <v>17</v>
      </c>
      <c r="C98" s="48" t="s">
        <v>12</v>
      </c>
      <c r="D98" s="48" t="s">
        <v>19</v>
      </c>
      <c r="E98" s="49" t="s">
        <v>55</v>
      </c>
      <c r="F98" s="49" t="s">
        <v>46</v>
      </c>
      <c r="G98" s="49" t="s">
        <v>13</v>
      </c>
      <c r="H98" s="64" t="s">
        <v>14</v>
      </c>
      <c r="I98" s="50" t="s">
        <v>15</v>
      </c>
      <c r="J98" s="48" t="s">
        <v>80</v>
      </c>
      <c r="K98" s="6">
        <v>20000000</v>
      </c>
      <c r="L98" s="6"/>
      <c r="M98" s="6">
        <f>17885478+25000000</f>
        <v>42885478</v>
      </c>
      <c r="N98" s="6"/>
      <c r="O98" s="6"/>
      <c r="P98" s="94">
        <f>K98-L98+M98-Q98-N98+O98</f>
        <v>62885478</v>
      </c>
      <c r="Q98" s="6"/>
      <c r="R98" s="6">
        <v>62885080</v>
      </c>
      <c r="S98" s="6">
        <v>62885080</v>
      </c>
      <c r="T98" s="6">
        <v>62885080</v>
      </c>
      <c r="U98" s="6">
        <v>38593100</v>
      </c>
      <c r="V98" s="6">
        <v>38593100</v>
      </c>
      <c r="W98" s="86">
        <f t="shared" si="19"/>
        <v>0.9999936710348294</v>
      </c>
      <c r="X98" s="36"/>
    </row>
    <row r="99" spans="1:24" s="38" customFormat="1" ht="12" customHeight="1">
      <c r="A99" s="47" t="s">
        <v>10</v>
      </c>
      <c r="B99" s="48" t="s">
        <v>17</v>
      </c>
      <c r="C99" s="48" t="s">
        <v>12</v>
      </c>
      <c r="D99" s="48" t="s">
        <v>19</v>
      </c>
      <c r="E99" s="49" t="s">
        <v>55</v>
      </c>
      <c r="F99" s="49" t="s">
        <v>46</v>
      </c>
      <c r="G99" s="49" t="s">
        <v>13</v>
      </c>
      <c r="H99" s="64" t="s">
        <v>93</v>
      </c>
      <c r="I99" s="50" t="s">
        <v>15</v>
      </c>
      <c r="J99" s="48" t="s">
        <v>80</v>
      </c>
      <c r="K99" s="6"/>
      <c r="L99" s="6"/>
      <c r="M99" s="6">
        <v>12114522</v>
      </c>
      <c r="N99" s="6"/>
      <c r="O99" s="6"/>
      <c r="P99" s="94">
        <f>K99-L99+M99-Q99-N99+O99</f>
        <v>12114522</v>
      </c>
      <c r="Q99" s="94"/>
      <c r="R99" s="6">
        <v>12114522</v>
      </c>
      <c r="S99" s="6">
        <v>12114522</v>
      </c>
      <c r="T99" s="6">
        <v>12114522</v>
      </c>
      <c r="U99" s="6">
        <v>12114522</v>
      </c>
      <c r="V99" s="6">
        <v>12114522</v>
      </c>
      <c r="W99" s="86">
        <f t="shared" si="19"/>
        <v>1</v>
      </c>
      <c r="X99" s="36"/>
    </row>
    <row r="100" spans="1:24" s="110" customFormat="1" ht="12" customHeight="1">
      <c r="A100" s="104" t="s">
        <v>10</v>
      </c>
      <c r="B100" s="105" t="s">
        <v>17</v>
      </c>
      <c r="C100" s="105" t="s">
        <v>12</v>
      </c>
      <c r="D100" s="105" t="s">
        <v>19</v>
      </c>
      <c r="E100" s="106" t="s">
        <v>55</v>
      </c>
      <c r="F100" s="106" t="s">
        <v>22</v>
      </c>
      <c r="G100" s="106" t="s">
        <v>13</v>
      </c>
      <c r="H100" s="107" t="s">
        <v>14</v>
      </c>
      <c r="I100" s="108" t="s">
        <v>15</v>
      </c>
      <c r="J100" s="105" t="s">
        <v>81</v>
      </c>
      <c r="K100" s="94">
        <v>817623765</v>
      </c>
      <c r="L100" s="94">
        <f>24885478+35000000+2266039+84932595</f>
        <v>147084112</v>
      </c>
      <c r="M100" s="94"/>
      <c r="N100" s="94">
        <v>16101287</v>
      </c>
      <c r="O100" s="94"/>
      <c r="P100" s="94">
        <f>K100-L100+M100-N100+O100-Q100</f>
        <v>654438366</v>
      </c>
      <c r="Q100" s="94">
        <v>0</v>
      </c>
      <c r="R100" s="94">
        <v>643565038.62</v>
      </c>
      <c r="S100" s="94">
        <v>643565038.62</v>
      </c>
      <c r="T100" s="94">
        <v>643565038.62</v>
      </c>
      <c r="U100" s="94">
        <v>578139694.62</v>
      </c>
      <c r="V100" s="94">
        <v>578139694.62</v>
      </c>
      <c r="W100" s="109">
        <f aca="true" t="shared" si="21" ref="W100:W122">S100/P100</f>
        <v>0.9833852537612381</v>
      </c>
      <c r="X100" s="102"/>
    </row>
    <row r="101" spans="1:24" s="35" customFormat="1" ht="13.5" customHeight="1">
      <c r="A101" s="42" t="s">
        <v>10</v>
      </c>
      <c r="B101" s="43" t="s">
        <v>17</v>
      </c>
      <c r="C101" s="43" t="s">
        <v>12</v>
      </c>
      <c r="D101" s="43" t="s">
        <v>19</v>
      </c>
      <c r="E101" s="51">
        <v>7</v>
      </c>
      <c r="F101" s="44"/>
      <c r="G101" s="44"/>
      <c r="H101" s="63"/>
      <c r="I101" s="45" t="s">
        <v>15</v>
      </c>
      <c r="J101" s="43" t="s">
        <v>114</v>
      </c>
      <c r="K101" s="4">
        <f aca="true" t="shared" si="22" ref="K101:V101">SUM(K102:K102)</f>
        <v>70000000</v>
      </c>
      <c r="L101" s="4">
        <f t="shared" si="22"/>
        <v>0</v>
      </c>
      <c r="M101" s="4">
        <f t="shared" si="22"/>
        <v>300000</v>
      </c>
      <c r="N101" s="4">
        <f t="shared" si="22"/>
        <v>0</v>
      </c>
      <c r="O101" s="4">
        <f t="shared" si="22"/>
        <v>0</v>
      </c>
      <c r="P101" s="100">
        <f t="shared" si="22"/>
        <v>70300000</v>
      </c>
      <c r="Q101" s="4">
        <f t="shared" si="22"/>
        <v>0</v>
      </c>
      <c r="R101" s="4">
        <f t="shared" si="22"/>
        <v>55200724</v>
      </c>
      <c r="S101" s="4">
        <f>SUM(S102:S102)</f>
        <v>55200724</v>
      </c>
      <c r="T101" s="4">
        <f t="shared" si="22"/>
        <v>55200724</v>
      </c>
      <c r="U101" s="4">
        <f t="shared" si="22"/>
        <v>54584024</v>
      </c>
      <c r="V101" s="4">
        <f t="shared" si="22"/>
        <v>54584024</v>
      </c>
      <c r="W101" s="86">
        <f t="shared" si="21"/>
        <v>0.7852165576102418</v>
      </c>
      <c r="X101" s="36"/>
    </row>
    <row r="102" spans="1:24" s="38" customFormat="1" ht="12" customHeight="1">
      <c r="A102" s="47" t="s">
        <v>10</v>
      </c>
      <c r="B102" s="48" t="s">
        <v>17</v>
      </c>
      <c r="C102" s="48" t="s">
        <v>12</v>
      </c>
      <c r="D102" s="48" t="s">
        <v>19</v>
      </c>
      <c r="E102" s="49" t="s">
        <v>57</v>
      </c>
      <c r="F102" s="49" t="s">
        <v>55</v>
      </c>
      <c r="G102" s="49" t="s">
        <v>13</v>
      </c>
      <c r="H102" s="64" t="s">
        <v>14</v>
      </c>
      <c r="I102" s="50" t="s">
        <v>15</v>
      </c>
      <c r="J102" s="48" t="s">
        <v>82</v>
      </c>
      <c r="K102" s="6">
        <v>70000000</v>
      </c>
      <c r="L102" s="6"/>
      <c r="M102" s="6">
        <v>300000</v>
      </c>
      <c r="N102" s="6"/>
      <c r="O102" s="6"/>
      <c r="P102" s="94">
        <f>K102-L102+M102-Q102-N102+O102</f>
        <v>70300000</v>
      </c>
      <c r="Q102" s="6"/>
      <c r="R102" s="6">
        <v>55200724</v>
      </c>
      <c r="S102" s="6">
        <v>55200724</v>
      </c>
      <c r="T102" s="6">
        <v>55200724</v>
      </c>
      <c r="U102" s="6">
        <v>54584024</v>
      </c>
      <c r="V102" s="6">
        <v>54584024</v>
      </c>
      <c r="W102" s="86">
        <f t="shared" si="21"/>
        <v>0.7852165576102418</v>
      </c>
      <c r="X102" s="36"/>
    </row>
    <row r="103" spans="1:24" s="35" customFormat="1" ht="13.5" customHeight="1">
      <c r="A103" s="42" t="s">
        <v>10</v>
      </c>
      <c r="B103" s="43" t="s">
        <v>17</v>
      </c>
      <c r="C103" s="43" t="s">
        <v>12</v>
      </c>
      <c r="D103" s="43" t="s">
        <v>19</v>
      </c>
      <c r="E103" s="51">
        <v>8</v>
      </c>
      <c r="F103" s="44"/>
      <c r="G103" s="44"/>
      <c r="H103" s="63"/>
      <c r="I103" s="45" t="s">
        <v>15</v>
      </c>
      <c r="J103" s="43" t="s">
        <v>115</v>
      </c>
      <c r="K103" s="4">
        <f aca="true" t="shared" si="23" ref="K103:V103">SUM(K104:K108)</f>
        <v>843442000</v>
      </c>
      <c r="L103" s="4">
        <f t="shared" si="23"/>
        <v>102318488</v>
      </c>
      <c r="M103" s="4">
        <f t="shared" si="23"/>
        <v>31200000</v>
      </c>
      <c r="N103" s="4">
        <f t="shared" si="23"/>
        <v>0</v>
      </c>
      <c r="O103" s="4">
        <f t="shared" si="23"/>
        <v>0</v>
      </c>
      <c r="P103" s="100">
        <f t="shared" si="23"/>
        <v>772323512</v>
      </c>
      <c r="Q103" s="4">
        <f>SUM(Q104:Q108)</f>
        <v>0</v>
      </c>
      <c r="R103" s="4">
        <f t="shared" si="23"/>
        <v>633386900.1</v>
      </c>
      <c r="S103" s="4">
        <f t="shared" si="23"/>
        <v>633386900.1</v>
      </c>
      <c r="T103" s="4">
        <f t="shared" si="23"/>
        <v>633386900.1</v>
      </c>
      <c r="U103" s="4">
        <f t="shared" si="23"/>
        <v>633386900.1</v>
      </c>
      <c r="V103" s="4">
        <f t="shared" si="23"/>
        <v>633386900.1</v>
      </c>
      <c r="W103" s="86">
        <f t="shared" si="21"/>
        <v>0.8201056814388424</v>
      </c>
      <c r="X103" s="36"/>
    </row>
    <row r="104" spans="1:24" s="38" customFormat="1" ht="12" customHeight="1">
      <c r="A104" s="47" t="s">
        <v>10</v>
      </c>
      <c r="B104" s="48" t="s">
        <v>17</v>
      </c>
      <c r="C104" s="48" t="s">
        <v>12</v>
      </c>
      <c r="D104" s="48" t="s">
        <v>19</v>
      </c>
      <c r="E104" s="49" t="s">
        <v>62</v>
      </c>
      <c r="F104" s="49" t="s">
        <v>11</v>
      </c>
      <c r="G104" s="49" t="s">
        <v>13</v>
      </c>
      <c r="H104" s="64" t="s">
        <v>14</v>
      </c>
      <c r="I104" s="50" t="s">
        <v>15</v>
      </c>
      <c r="J104" s="48" t="s">
        <v>83</v>
      </c>
      <c r="K104" s="6">
        <v>56782751</v>
      </c>
      <c r="L104" s="6"/>
      <c r="M104" s="6"/>
      <c r="N104" s="6"/>
      <c r="O104" s="6"/>
      <c r="P104" s="94">
        <f>K104-L104+M104-Q104-N104+O104</f>
        <v>56782751</v>
      </c>
      <c r="Q104" s="6"/>
      <c r="R104" s="6">
        <v>40072507.29</v>
      </c>
      <c r="S104" s="6">
        <v>40072507.29</v>
      </c>
      <c r="T104" s="6">
        <v>40072507.29</v>
      </c>
      <c r="U104" s="6">
        <v>40072507.29</v>
      </c>
      <c r="V104" s="6">
        <v>40072507.29</v>
      </c>
      <c r="W104" s="86">
        <f t="shared" si="21"/>
        <v>0.7057162005060305</v>
      </c>
      <c r="X104" s="36"/>
    </row>
    <row r="105" spans="1:24" s="38" customFormat="1" ht="12" customHeight="1">
      <c r="A105" s="47" t="s">
        <v>10</v>
      </c>
      <c r="B105" s="48" t="s">
        <v>17</v>
      </c>
      <c r="C105" s="48" t="s">
        <v>12</v>
      </c>
      <c r="D105" s="48" t="s">
        <v>19</v>
      </c>
      <c r="E105" s="49" t="s">
        <v>62</v>
      </c>
      <c r="F105" s="49" t="s">
        <v>17</v>
      </c>
      <c r="G105" s="49" t="s">
        <v>13</v>
      </c>
      <c r="H105" s="64" t="s">
        <v>14</v>
      </c>
      <c r="I105" s="50" t="s">
        <v>15</v>
      </c>
      <c r="J105" s="48" t="s">
        <v>84</v>
      </c>
      <c r="K105" s="6">
        <v>455201662</v>
      </c>
      <c r="L105" s="6"/>
      <c r="M105" s="6">
        <v>31000000</v>
      </c>
      <c r="N105" s="6"/>
      <c r="O105" s="6"/>
      <c r="P105" s="94">
        <f>K105-L105+M105-Q105-N105+O105</f>
        <v>486201662</v>
      </c>
      <c r="Q105" s="6"/>
      <c r="R105" s="6">
        <v>447219836.37</v>
      </c>
      <c r="S105" s="6">
        <v>447219836.37</v>
      </c>
      <c r="T105" s="6">
        <v>447219836.37</v>
      </c>
      <c r="U105" s="6">
        <v>447219836.37</v>
      </c>
      <c r="V105" s="6">
        <v>447219836.37</v>
      </c>
      <c r="W105" s="86">
        <f t="shared" si="21"/>
        <v>0.9198237507670223</v>
      </c>
      <c r="X105" s="36"/>
    </row>
    <row r="106" spans="1:24" s="38" customFormat="1" ht="12" customHeight="1">
      <c r="A106" s="47" t="s">
        <v>10</v>
      </c>
      <c r="B106" s="48" t="s">
        <v>17</v>
      </c>
      <c r="C106" s="48" t="s">
        <v>12</v>
      </c>
      <c r="D106" s="48" t="s">
        <v>19</v>
      </c>
      <c r="E106" s="49" t="s">
        <v>62</v>
      </c>
      <c r="F106" s="49" t="s">
        <v>46</v>
      </c>
      <c r="G106" s="49" t="s">
        <v>13</v>
      </c>
      <c r="H106" s="64" t="s">
        <v>14</v>
      </c>
      <c r="I106" s="50" t="s">
        <v>15</v>
      </c>
      <c r="J106" s="48" t="s">
        <v>85</v>
      </c>
      <c r="K106" s="6">
        <v>1384677</v>
      </c>
      <c r="L106" s="6"/>
      <c r="M106" s="6">
        <v>200000</v>
      </c>
      <c r="N106" s="6"/>
      <c r="O106" s="6"/>
      <c r="P106" s="94">
        <f>K106-L106+M106-Q106-N106+O106</f>
        <v>1584677</v>
      </c>
      <c r="Q106" s="6"/>
      <c r="R106" s="6">
        <v>1444402</v>
      </c>
      <c r="S106" s="6">
        <v>1444402</v>
      </c>
      <c r="T106" s="6">
        <v>1444402</v>
      </c>
      <c r="U106" s="6">
        <v>1444402</v>
      </c>
      <c r="V106" s="6">
        <v>1444402</v>
      </c>
      <c r="W106" s="86">
        <f t="shared" si="21"/>
        <v>0.9114803836996436</v>
      </c>
      <c r="X106" s="36"/>
    </row>
    <row r="107" spans="1:24" s="38" customFormat="1" ht="12" customHeight="1">
      <c r="A107" s="47" t="s">
        <v>10</v>
      </c>
      <c r="B107" s="48" t="s">
        <v>17</v>
      </c>
      <c r="C107" s="48" t="s">
        <v>12</v>
      </c>
      <c r="D107" s="48" t="s">
        <v>19</v>
      </c>
      <c r="E107" s="49" t="s">
        <v>62</v>
      </c>
      <c r="F107" s="49" t="s">
        <v>22</v>
      </c>
      <c r="G107" s="49" t="s">
        <v>13</v>
      </c>
      <c r="H107" s="64" t="s">
        <v>14</v>
      </c>
      <c r="I107" s="50" t="s">
        <v>15</v>
      </c>
      <c r="J107" s="48" t="s">
        <v>86</v>
      </c>
      <c r="K107" s="6">
        <v>75101661</v>
      </c>
      <c r="L107" s="6"/>
      <c r="M107" s="6"/>
      <c r="N107" s="6"/>
      <c r="O107" s="6"/>
      <c r="P107" s="94">
        <f>K107-L107+M107-Q107-N107+O107</f>
        <v>75101661</v>
      </c>
      <c r="Q107" s="6"/>
      <c r="R107" s="6">
        <v>45392751.44</v>
      </c>
      <c r="S107" s="6">
        <v>45392751.44</v>
      </c>
      <c r="T107" s="6">
        <v>45392751.44</v>
      </c>
      <c r="U107" s="6">
        <v>45392751.44</v>
      </c>
      <c r="V107" s="6">
        <v>45392751.44</v>
      </c>
      <c r="W107" s="86">
        <f t="shared" si="21"/>
        <v>0.604417410155549</v>
      </c>
      <c r="X107" s="36"/>
    </row>
    <row r="108" spans="1:24" s="38" customFormat="1" ht="12" customHeight="1">
      <c r="A108" s="47" t="s">
        <v>10</v>
      </c>
      <c r="B108" s="48" t="s">
        <v>17</v>
      </c>
      <c r="C108" s="48" t="s">
        <v>12</v>
      </c>
      <c r="D108" s="48" t="s">
        <v>19</v>
      </c>
      <c r="E108" s="49" t="s">
        <v>62</v>
      </c>
      <c r="F108" s="49" t="s">
        <v>55</v>
      </c>
      <c r="G108" s="49" t="s">
        <v>13</v>
      </c>
      <c r="H108" s="64" t="s">
        <v>14</v>
      </c>
      <c r="I108" s="50" t="s">
        <v>15</v>
      </c>
      <c r="J108" s="48" t="s">
        <v>87</v>
      </c>
      <c r="K108" s="6">
        <v>254971249</v>
      </c>
      <c r="L108" s="6">
        <f>60000000+31200000+11118488</f>
        <v>102318488</v>
      </c>
      <c r="M108" s="6"/>
      <c r="N108" s="6"/>
      <c r="O108" s="6"/>
      <c r="P108" s="94">
        <f>K108-L108+M108-Q108-N108+O108</f>
        <v>152652761</v>
      </c>
      <c r="Q108" s="6"/>
      <c r="R108" s="6">
        <v>99257403</v>
      </c>
      <c r="S108" s="6">
        <v>99257403</v>
      </c>
      <c r="T108" s="6">
        <v>99257403</v>
      </c>
      <c r="U108" s="6">
        <v>99257403</v>
      </c>
      <c r="V108" s="6">
        <v>99257403</v>
      </c>
      <c r="W108" s="86">
        <f t="shared" si="21"/>
        <v>0.6502168866765534</v>
      </c>
      <c r="X108" s="36"/>
    </row>
    <row r="109" spans="1:24" s="35" customFormat="1" ht="13.5" customHeight="1">
      <c r="A109" s="42" t="s">
        <v>10</v>
      </c>
      <c r="B109" s="43" t="s">
        <v>17</v>
      </c>
      <c r="C109" s="43" t="s">
        <v>12</v>
      </c>
      <c r="D109" s="43" t="s">
        <v>19</v>
      </c>
      <c r="E109" s="51">
        <v>9</v>
      </c>
      <c r="F109" s="44"/>
      <c r="G109" s="44"/>
      <c r="H109" s="63"/>
      <c r="I109" s="45" t="s">
        <v>15</v>
      </c>
      <c r="J109" s="43" t="s">
        <v>116</v>
      </c>
      <c r="K109" s="4">
        <f aca="true" t="shared" si="24" ref="K109:V109">SUM(K110:K110)</f>
        <v>40435680</v>
      </c>
      <c r="L109" s="4">
        <f t="shared" si="24"/>
        <v>2062941</v>
      </c>
      <c r="M109" s="4">
        <f t="shared" si="24"/>
        <v>600000</v>
      </c>
      <c r="N109" s="4">
        <f t="shared" si="24"/>
        <v>0</v>
      </c>
      <c r="O109" s="4">
        <f t="shared" si="24"/>
        <v>0</v>
      </c>
      <c r="P109" s="100">
        <f t="shared" si="24"/>
        <v>38972739</v>
      </c>
      <c r="Q109" s="4">
        <f t="shared" si="24"/>
        <v>0</v>
      </c>
      <c r="R109" s="4">
        <f t="shared" si="24"/>
        <v>19936378</v>
      </c>
      <c r="S109" s="4">
        <f t="shared" si="24"/>
        <v>19936378</v>
      </c>
      <c r="T109" s="4">
        <f t="shared" si="24"/>
        <v>19936378</v>
      </c>
      <c r="U109" s="4">
        <f t="shared" si="24"/>
        <v>18008329</v>
      </c>
      <c r="V109" s="4">
        <f t="shared" si="24"/>
        <v>18008329</v>
      </c>
      <c r="W109" s="86">
        <f t="shared" si="21"/>
        <v>0.511546750665895</v>
      </c>
      <c r="X109" s="36"/>
    </row>
    <row r="110" spans="1:24" s="38" customFormat="1" ht="12" customHeight="1">
      <c r="A110" s="47" t="s">
        <v>10</v>
      </c>
      <c r="B110" s="48" t="s">
        <v>17</v>
      </c>
      <c r="C110" s="48" t="s">
        <v>12</v>
      </c>
      <c r="D110" s="48" t="s">
        <v>19</v>
      </c>
      <c r="E110" s="49" t="s">
        <v>43</v>
      </c>
      <c r="F110" s="49" t="s">
        <v>88</v>
      </c>
      <c r="G110" s="49" t="s">
        <v>13</v>
      </c>
      <c r="H110" s="64" t="s">
        <v>14</v>
      </c>
      <c r="I110" s="50" t="s">
        <v>15</v>
      </c>
      <c r="J110" s="48" t="s">
        <v>89</v>
      </c>
      <c r="K110" s="6">
        <v>40435680</v>
      </c>
      <c r="L110" s="6">
        <v>2062941</v>
      </c>
      <c r="M110" s="6">
        <v>600000</v>
      </c>
      <c r="N110" s="6"/>
      <c r="O110" s="6"/>
      <c r="P110" s="94">
        <f>K110-L110+M110-Q110-N110+O110</f>
        <v>38972739</v>
      </c>
      <c r="Q110" s="6"/>
      <c r="R110" s="6">
        <v>19936378</v>
      </c>
      <c r="S110" s="6">
        <v>19936378</v>
      </c>
      <c r="T110" s="6">
        <v>19936378</v>
      </c>
      <c r="U110" s="6">
        <v>18008329</v>
      </c>
      <c r="V110" s="6">
        <v>18008329</v>
      </c>
      <c r="W110" s="86">
        <f t="shared" si="21"/>
        <v>0.511546750665895</v>
      </c>
      <c r="X110" s="36"/>
    </row>
    <row r="111" spans="1:24" s="35" customFormat="1" ht="13.5" customHeight="1">
      <c r="A111" s="42" t="s">
        <v>10</v>
      </c>
      <c r="B111" s="43" t="s">
        <v>17</v>
      </c>
      <c r="C111" s="43" t="s">
        <v>12</v>
      </c>
      <c r="D111" s="43" t="s">
        <v>19</v>
      </c>
      <c r="E111" s="51">
        <v>10</v>
      </c>
      <c r="F111" s="54"/>
      <c r="G111" s="44"/>
      <c r="H111" s="63"/>
      <c r="I111" s="45" t="s">
        <v>15</v>
      </c>
      <c r="J111" s="43" t="s">
        <v>117</v>
      </c>
      <c r="K111" s="4">
        <f aca="true" t="shared" si="25" ref="K111:V111">SUM(K112:K112)</f>
        <v>3240874021</v>
      </c>
      <c r="L111" s="4">
        <f t="shared" si="25"/>
        <v>311329648</v>
      </c>
      <c r="M111" s="4">
        <f t="shared" si="25"/>
        <v>12500000</v>
      </c>
      <c r="N111" s="4">
        <f t="shared" si="25"/>
        <v>0</v>
      </c>
      <c r="O111" s="4">
        <f t="shared" si="25"/>
        <v>0</v>
      </c>
      <c r="P111" s="100">
        <f t="shared" si="25"/>
        <v>2942044373</v>
      </c>
      <c r="Q111" s="4">
        <f t="shared" si="25"/>
        <v>0</v>
      </c>
      <c r="R111" s="4">
        <f t="shared" si="25"/>
        <v>2921915911</v>
      </c>
      <c r="S111" s="4">
        <f>SUM(S112:S112)</f>
        <v>2921915911</v>
      </c>
      <c r="T111" s="4">
        <f t="shared" si="25"/>
        <v>2920173989</v>
      </c>
      <c r="U111" s="4">
        <f t="shared" si="25"/>
        <v>2920173989</v>
      </c>
      <c r="V111" s="4">
        <f t="shared" si="25"/>
        <v>2920173989</v>
      </c>
      <c r="W111" s="86">
        <f t="shared" si="21"/>
        <v>0.9931583418031609</v>
      </c>
      <c r="X111" s="36"/>
    </row>
    <row r="112" spans="1:24" s="38" customFormat="1" ht="12" customHeight="1">
      <c r="A112" s="47" t="s">
        <v>10</v>
      </c>
      <c r="B112" s="48" t="s">
        <v>17</v>
      </c>
      <c r="C112" s="48" t="s">
        <v>12</v>
      </c>
      <c r="D112" s="48" t="s">
        <v>19</v>
      </c>
      <c r="E112" s="49" t="s">
        <v>14</v>
      </c>
      <c r="F112" s="54">
        <v>2</v>
      </c>
      <c r="G112" s="49" t="s">
        <v>13</v>
      </c>
      <c r="H112" s="64" t="s">
        <v>14</v>
      </c>
      <c r="I112" s="50" t="s">
        <v>15</v>
      </c>
      <c r="J112" s="48" t="s">
        <v>169</v>
      </c>
      <c r="K112" s="6">
        <v>3240874021</v>
      </c>
      <c r="L112" s="6">
        <f>135031948+162000000+14297700</f>
        <v>311329648</v>
      </c>
      <c r="M112" s="6">
        <v>12500000</v>
      </c>
      <c r="N112" s="6"/>
      <c r="O112" s="6"/>
      <c r="P112" s="94">
        <f>K112-L112+M112-Q112-N112+O112</f>
        <v>2942044373</v>
      </c>
      <c r="Q112" s="6"/>
      <c r="R112" s="6">
        <v>2921915911</v>
      </c>
      <c r="S112" s="6">
        <v>2921915911</v>
      </c>
      <c r="T112" s="6">
        <v>2920173989</v>
      </c>
      <c r="U112" s="6">
        <v>2920173989</v>
      </c>
      <c r="V112" s="6">
        <v>2920173989</v>
      </c>
      <c r="W112" s="86">
        <f t="shared" si="21"/>
        <v>0.9931583418031609</v>
      </c>
      <c r="X112" s="36"/>
    </row>
    <row r="113" spans="1:24" s="35" customFormat="1" ht="12.75" customHeight="1">
      <c r="A113" s="42" t="s">
        <v>10</v>
      </c>
      <c r="B113" s="43" t="s">
        <v>17</v>
      </c>
      <c r="C113" s="43" t="s">
        <v>12</v>
      </c>
      <c r="D113" s="43" t="s">
        <v>19</v>
      </c>
      <c r="E113" s="51">
        <v>11</v>
      </c>
      <c r="F113" s="44"/>
      <c r="G113" s="44"/>
      <c r="H113" s="63"/>
      <c r="I113" s="45" t="s">
        <v>15</v>
      </c>
      <c r="J113" s="43" t="s">
        <v>118</v>
      </c>
      <c r="K113" s="2">
        <f aca="true" t="shared" si="26" ref="K113:V113">SUM(K114:K115)</f>
        <v>1382365146</v>
      </c>
      <c r="L113" s="2">
        <f t="shared" si="26"/>
        <v>141310075.67000002</v>
      </c>
      <c r="M113" s="2">
        <f t="shared" si="26"/>
        <v>94000000</v>
      </c>
      <c r="N113" s="2">
        <f t="shared" si="26"/>
        <v>0</v>
      </c>
      <c r="O113" s="2">
        <f t="shared" si="26"/>
        <v>0</v>
      </c>
      <c r="P113" s="134">
        <f>SUM(P114:P115)</f>
        <v>1335055070.33</v>
      </c>
      <c r="Q113" s="2">
        <f>SUM(Q114:Q115)</f>
        <v>0</v>
      </c>
      <c r="R113" s="2">
        <f t="shared" si="26"/>
        <v>1301780134.18</v>
      </c>
      <c r="S113" s="2">
        <f>SUM(S114:S115)</f>
        <v>1301780134.18</v>
      </c>
      <c r="T113" s="2">
        <f t="shared" si="26"/>
        <v>1301780134.18</v>
      </c>
      <c r="U113" s="2">
        <f t="shared" si="26"/>
        <v>1301780134.18</v>
      </c>
      <c r="V113" s="2">
        <f t="shared" si="26"/>
        <v>1301780134.18</v>
      </c>
      <c r="W113" s="86">
        <f t="shared" si="21"/>
        <v>0.9750759823399833</v>
      </c>
      <c r="X113" s="36"/>
    </row>
    <row r="114" spans="1:24" s="38" customFormat="1" ht="12" customHeight="1">
      <c r="A114" s="47" t="s">
        <v>10</v>
      </c>
      <c r="B114" s="48" t="s">
        <v>17</v>
      </c>
      <c r="C114" s="48" t="s">
        <v>12</v>
      </c>
      <c r="D114" s="48" t="s">
        <v>19</v>
      </c>
      <c r="E114" s="49" t="s">
        <v>88</v>
      </c>
      <c r="F114" s="49" t="s">
        <v>11</v>
      </c>
      <c r="G114" s="49" t="s">
        <v>13</v>
      </c>
      <c r="H114" s="64" t="s">
        <v>14</v>
      </c>
      <c r="I114" s="50" t="s">
        <v>15</v>
      </c>
      <c r="J114" s="48" t="s">
        <v>90</v>
      </c>
      <c r="K114" s="6">
        <v>60000000</v>
      </c>
      <c r="L114" s="6">
        <v>34000000</v>
      </c>
      <c r="M114" s="6"/>
      <c r="N114" s="6"/>
      <c r="O114" s="6"/>
      <c r="P114" s="94">
        <f>K114-L114+M114-Q114-N114+O114</f>
        <v>26000000</v>
      </c>
      <c r="Q114" s="6"/>
      <c r="R114" s="6">
        <v>18849774.68</v>
      </c>
      <c r="S114" s="6">
        <v>18849774.68</v>
      </c>
      <c r="T114" s="6">
        <v>18849774.68</v>
      </c>
      <c r="U114" s="6">
        <v>18849774.68</v>
      </c>
      <c r="V114" s="6">
        <v>18849774.68</v>
      </c>
      <c r="W114" s="86">
        <f t="shared" si="21"/>
        <v>0.7249913338461539</v>
      </c>
      <c r="X114" s="36"/>
    </row>
    <row r="115" spans="1:24" s="38" customFormat="1" ht="12" customHeight="1">
      <c r="A115" s="47" t="s">
        <v>10</v>
      </c>
      <c r="B115" s="48" t="s">
        <v>17</v>
      </c>
      <c r="C115" s="48" t="s">
        <v>12</v>
      </c>
      <c r="D115" s="48" t="s">
        <v>19</v>
      </c>
      <c r="E115" s="49" t="s">
        <v>88</v>
      </c>
      <c r="F115" s="49" t="s">
        <v>17</v>
      </c>
      <c r="G115" s="49" t="s">
        <v>13</v>
      </c>
      <c r="H115" s="64" t="s">
        <v>14</v>
      </c>
      <c r="I115" s="50" t="s">
        <v>15</v>
      </c>
      <c r="J115" s="48" t="s">
        <v>91</v>
      </c>
      <c r="K115" s="6">
        <v>1322365146</v>
      </c>
      <c r="L115" s="6">
        <v>107310075.67</v>
      </c>
      <c r="M115" s="6">
        <f>34000000+60000000</f>
        <v>94000000</v>
      </c>
      <c r="N115" s="6"/>
      <c r="O115" s="6"/>
      <c r="P115" s="94">
        <f>K115-L115+M115-Q115-N115+O115</f>
        <v>1309055070.33</v>
      </c>
      <c r="Q115" s="6"/>
      <c r="R115" s="6">
        <v>1282930359.5</v>
      </c>
      <c r="S115" s="6">
        <v>1282930359.5</v>
      </c>
      <c r="T115" s="6">
        <v>1282930359.5</v>
      </c>
      <c r="U115" s="6">
        <v>1282930359.5</v>
      </c>
      <c r="V115" s="6">
        <v>1282930359.5</v>
      </c>
      <c r="W115" s="86">
        <f t="shared" si="21"/>
        <v>0.9800430773142232</v>
      </c>
      <c r="X115" s="36"/>
    </row>
    <row r="116" spans="1:24" s="35" customFormat="1" ht="12.75" customHeight="1">
      <c r="A116" s="42" t="s">
        <v>10</v>
      </c>
      <c r="B116" s="43">
        <v>2</v>
      </c>
      <c r="C116" s="43">
        <v>0</v>
      </c>
      <c r="D116" s="43">
        <v>4</v>
      </c>
      <c r="E116" s="51">
        <v>12</v>
      </c>
      <c r="F116" s="44"/>
      <c r="G116" s="44"/>
      <c r="H116" s="63"/>
      <c r="I116" s="45" t="s">
        <v>15</v>
      </c>
      <c r="J116" s="43" t="s">
        <v>148</v>
      </c>
      <c r="K116" s="2">
        <f aca="true" t="shared" si="27" ref="K116:V116">SUM(K117)</f>
        <v>2120000</v>
      </c>
      <c r="L116" s="2">
        <f t="shared" si="27"/>
        <v>0</v>
      </c>
      <c r="M116" s="2">
        <f t="shared" si="27"/>
        <v>0</v>
      </c>
      <c r="N116" s="2">
        <f t="shared" si="27"/>
        <v>0</v>
      </c>
      <c r="O116" s="2">
        <f t="shared" si="27"/>
        <v>0</v>
      </c>
      <c r="P116" s="134">
        <f>SUM(P117)</f>
        <v>2120000</v>
      </c>
      <c r="Q116" s="2">
        <f t="shared" si="27"/>
        <v>0</v>
      </c>
      <c r="R116" s="2">
        <f t="shared" si="27"/>
        <v>0</v>
      </c>
      <c r="S116" s="2">
        <f t="shared" si="27"/>
        <v>0</v>
      </c>
      <c r="T116" s="2">
        <f t="shared" si="27"/>
        <v>0</v>
      </c>
      <c r="U116" s="2">
        <f t="shared" si="27"/>
        <v>0</v>
      </c>
      <c r="V116" s="2">
        <f t="shared" si="27"/>
        <v>0</v>
      </c>
      <c r="W116" s="86">
        <f t="shared" si="21"/>
        <v>0</v>
      </c>
      <c r="X116" s="36"/>
    </row>
    <row r="117" spans="1:24" s="38" customFormat="1" ht="12" customHeight="1">
      <c r="A117" s="47" t="s">
        <v>10</v>
      </c>
      <c r="B117" s="48">
        <v>2</v>
      </c>
      <c r="C117" s="48">
        <v>0</v>
      </c>
      <c r="D117" s="48">
        <v>4</v>
      </c>
      <c r="E117" s="54">
        <v>12</v>
      </c>
      <c r="F117" s="54">
        <v>3</v>
      </c>
      <c r="G117" s="49" t="s">
        <v>13</v>
      </c>
      <c r="H117" s="64" t="s">
        <v>14</v>
      </c>
      <c r="I117" s="50" t="s">
        <v>15</v>
      </c>
      <c r="J117" s="48" t="s">
        <v>92</v>
      </c>
      <c r="K117" s="6">
        <v>2120000</v>
      </c>
      <c r="L117" s="6"/>
      <c r="M117" s="6"/>
      <c r="N117" s="6"/>
      <c r="O117" s="6"/>
      <c r="P117" s="94">
        <f>K117-L117+M117-Q117-N117+O117</f>
        <v>2120000</v>
      </c>
      <c r="Q117" s="6"/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86">
        <f t="shared" si="21"/>
        <v>0</v>
      </c>
      <c r="X117" s="36"/>
    </row>
    <row r="118" spans="1:24" s="38" customFormat="1" ht="12" customHeight="1">
      <c r="A118" s="42" t="s">
        <v>10</v>
      </c>
      <c r="B118" s="43">
        <v>2</v>
      </c>
      <c r="C118" s="43">
        <v>0</v>
      </c>
      <c r="D118" s="43">
        <v>4</v>
      </c>
      <c r="E118" s="51">
        <v>14</v>
      </c>
      <c r="F118" s="54"/>
      <c r="G118" s="49" t="s">
        <v>13</v>
      </c>
      <c r="H118" s="64" t="s">
        <v>14</v>
      </c>
      <c r="I118" s="50" t="s">
        <v>15</v>
      </c>
      <c r="J118" s="43" t="s">
        <v>177</v>
      </c>
      <c r="K118" s="6"/>
      <c r="L118" s="6"/>
      <c r="M118" s="2">
        <f>M119</f>
        <v>1200000</v>
      </c>
      <c r="N118" s="6"/>
      <c r="O118" s="6"/>
      <c r="P118" s="134">
        <f>SUM(P119)</f>
        <v>1200000</v>
      </c>
      <c r="Q118" s="2"/>
      <c r="R118" s="2">
        <f>R119</f>
        <v>145400</v>
      </c>
      <c r="S118" s="2">
        <f>S119</f>
        <v>145400</v>
      </c>
      <c r="T118" s="2">
        <f>T119</f>
        <v>145400</v>
      </c>
      <c r="U118" s="2">
        <f>U119</f>
        <v>145400</v>
      </c>
      <c r="V118" s="2">
        <f>V119</f>
        <v>145400</v>
      </c>
      <c r="W118" s="86">
        <f t="shared" si="21"/>
        <v>0.12116666666666667</v>
      </c>
      <c r="X118" s="36"/>
    </row>
    <row r="119" spans="1:24" s="38" customFormat="1" ht="12" customHeight="1">
      <c r="A119" s="47" t="s">
        <v>10</v>
      </c>
      <c r="B119" s="48">
        <v>2</v>
      </c>
      <c r="C119" s="48">
        <v>0</v>
      </c>
      <c r="D119" s="48">
        <v>4</v>
      </c>
      <c r="E119" s="54">
        <v>14</v>
      </c>
      <c r="F119" s="54"/>
      <c r="G119" s="49" t="s">
        <v>13</v>
      </c>
      <c r="H119" s="64" t="s">
        <v>14</v>
      </c>
      <c r="I119" s="50" t="s">
        <v>15</v>
      </c>
      <c r="J119" s="48" t="s">
        <v>177</v>
      </c>
      <c r="K119" s="6"/>
      <c r="L119" s="6"/>
      <c r="M119" s="6">
        <v>1200000</v>
      </c>
      <c r="N119" s="6"/>
      <c r="O119" s="6"/>
      <c r="P119" s="94">
        <f>K119-L119+M119-Q119-N119+O119</f>
        <v>1200000</v>
      </c>
      <c r="Q119" s="6"/>
      <c r="R119" s="6">
        <v>145400</v>
      </c>
      <c r="S119" s="6">
        <v>145400</v>
      </c>
      <c r="T119" s="6">
        <v>145400</v>
      </c>
      <c r="U119" s="6">
        <v>145400</v>
      </c>
      <c r="V119" s="6">
        <v>145400</v>
      </c>
      <c r="W119" s="86">
        <f t="shared" si="21"/>
        <v>0.12116666666666667</v>
      </c>
      <c r="X119" s="36"/>
    </row>
    <row r="120" spans="1:24" s="35" customFormat="1" ht="27" customHeight="1">
      <c r="A120" s="42" t="s">
        <v>10</v>
      </c>
      <c r="B120" s="43" t="s">
        <v>17</v>
      </c>
      <c r="C120" s="43" t="s">
        <v>12</v>
      </c>
      <c r="D120" s="43" t="s">
        <v>19</v>
      </c>
      <c r="E120" s="51">
        <v>21</v>
      </c>
      <c r="F120" s="44"/>
      <c r="G120" s="44"/>
      <c r="H120" s="63"/>
      <c r="I120" s="45" t="s">
        <v>15</v>
      </c>
      <c r="J120" s="46" t="s">
        <v>119</v>
      </c>
      <c r="K120" s="2">
        <f>SUM(K121:K123)</f>
        <v>440000000</v>
      </c>
      <c r="L120" s="2">
        <f>SUM(L121:L123)</f>
        <v>123530000</v>
      </c>
      <c r="M120" s="2">
        <f>SUM(M121:M124)</f>
        <v>207530000</v>
      </c>
      <c r="N120" s="2">
        <f>SUM(N121:N123)</f>
        <v>0</v>
      </c>
      <c r="O120" s="2">
        <f>SUM(O121:O123)</f>
        <v>0</v>
      </c>
      <c r="P120" s="134">
        <f>SUM(P121:P124)</f>
        <v>524000000</v>
      </c>
      <c r="Q120" s="2">
        <f>SUM(Q121:Q123)</f>
        <v>0</v>
      </c>
      <c r="R120" s="2">
        <f>SUM(R121:R124)</f>
        <v>339668203.32</v>
      </c>
      <c r="S120" s="2">
        <f>SUM(S121:S124)</f>
        <v>339668203.32</v>
      </c>
      <c r="T120" s="2">
        <f>SUM(T121:T124)</f>
        <v>339668203.32</v>
      </c>
      <c r="U120" s="2">
        <f>SUM(U121:U124)</f>
        <v>258649783.32</v>
      </c>
      <c r="V120" s="2">
        <f>SUM(V121:V124)</f>
        <v>258649783.32</v>
      </c>
      <c r="W120" s="86">
        <f t="shared" si="21"/>
        <v>0.6482217620610687</v>
      </c>
      <c r="X120" s="36"/>
    </row>
    <row r="121" spans="1:24" s="38" customFormat="1" ht="12.75" customHeight="1">
      <c r="A121" s="47" t="s">
        <v>10</v>
      </c>
      <c r="B121" s="48" t="s">
        <v>17</v>
      </c>
      <c r="C121" s="48" t="s">
        <v>12</v>
      </c>
      <c r="D121" s="48" t="s">
        <v>19</v>
      </c>
      <c r="E121" s="49" t="s">
        <v>93</v>
      </c>
      <c r="F121" s="49" t="s">
        <v>19</v>
      </c>
      <c r="G121" s="49" t="s">
        <v>13</v>
      </c>
      <c r="H121" s="64" t="s">
        <v>14</v>
      </c>
      <c r="I121" s="50" t="s">
        <v>15</v>
      </c>
      <c r="J121" s="48" t="s">
        <v>94</v>
      </c>
      <c r="K121" s="6">
        <v>350000000</v>
      </c>
      <c r="L121" s="6">
        <v>55000000</v>
      </c>
      <c r="M121" s="6"/>
      <c r="N121" s="6"/>
      <c r="O121" s="6"/>
      <c r="P121" s="94">
        <f>K121-L121+M121-Q121-N121+O121</f>
        <v>295000000</v>
      </c>
      <c r="Q121" s="6"/>
      <c r="R121" s="6">
        <v>233075536.32</v>
      </c>
      <c r="S121" s="6">
        <v>233075536.32</v>
      </c>
      <c r="T121" s="6">
        <v>233075536.32</v>
      </c>
      <c r="U121" s="6">
        <v>163878516.32</v>
      </c>
      <c r="V121" s="6">
        <v>163878516.32</v>
      </c>
      <c r="W121" s="86">
        <f t="shared" si="21"/>
        <v>0.7900865637966101</v>
      </c>
      <c r="X121" s="36"/>
    </row>
    <row r="122" spans="1:24" s="38" customFormat="1" ht="12.75" customHeight="1">
      <c r="A122" s="47" t="s">
        <v>10</v>
      </c>
      <c r="B122" s="48" t="s">
        <v>17</v>
      </c>
      <c r="C122" s="48" t="s">
        <v>12</v>
      </c>
      <c r="D122" s="48" t="s">
        <v>19</v>
      </c>
      <c r="E122" s="49" t="s">
        <v>93</v>
      </c>
      <c r="F122" s="49" t="s">
        <v>19</v>
      </c>
      <c r="G122" s="49" t="s">
        <v>13</v>
      </c>
      <c r="H122" s="64" t="s">
        <v>93</v>
      </c>
      <c r="I122" s="50" t="s">
        <v>15</v>
      </c>
      <c r="J122" s="48" t="s">
        <v>94</v>
      </c>
      <c r="K122" s="6"/>
      <c r="L122" s="6"/>
      <c r="M122" s="6">
        <v>84000000</v>
      </c>
      <c r="N122" s="6"/>
      <c r="O122" s="6"/>
      <c r="P122" s="94">
        <f>K122-L122+M122-Q122-N122+O122</f>
        <v>84000000</v>
      </c>
      <c r="Q122" s="6"/>
      <c r="R122" s="6">
        <v>25802356</v>
      </c>
      <c r="S122" s="6">
        <v>25802356</v>
      </c>
      <c r="T122" s="6">
        <v>25802356</v>
      </c>
      <c r="U122" s="6">
        <v>13980956</v>
      </c>
      <c r="V122" s="6">
        <v>13980956</v>
      </c>
      <c r="W122" s="86">
        <f t="shared" si="21"/>
        <v>0.3071709047619048</v>
      </c>
      <c r="X122" s="36"/>
    </row>
    <row r="123" spans="1:24" s="38" customFormat="1" ht="12.75" customHeight="1">
      <c r="A123" s="47" t="s">
        <v>10</v>
      </c>
      <c r="B123" s="48" t="s">
        <v>17</v>
      </c>
      <c r="C123" s="48" t="s">
        <v>12</v>
      </c>
      <c r="D123" s="48" t="s">
        <v>19</v>
      </c>
      <c r="E123" s="49" t="s">
        <v>93</v>
      </c>
      <c r="F123" s="49" t="s">
        <v>22</v>
      </c>
      <c r="G123" s="49" t="s">
        <v>13</v>
      </c>
      <c r="H123" s="64" t="s">
        <v>14</v>
      </c>
      <c r="I123" s="50" t="s">
        <v>15</v>
      </c>
      <c r="J123" s="48" t="s">
        <v>95</v>
      </c>
      <c r="K123" s="6">
        <v>90000000</v>
      </c>
      <c r="L123" s="6">
        <v>68530000</v>
      </c>
      <c r="M123" s="6">
        <v>68530000</v>
      </c>
      <c r="N123" s="6"/>
      <c r="O123" s="6"/>
      <c r="P123" s="94">
        <f>K123-L123+M123-Q123-N123+O123</f>
        <v>90000000</v>
      </c>
      <c r="Q123" s="6"/>
      <c r="R123" s="6">
        <v>34735000</v>
      </c>
      <c r="S123" s="6">
        <v>34735000</v>
      </c>
      <c r="T123" s="6">
        <v>34735000</v>
      </c>
      <c r="U123" s="6">
        <v>34735000</v>
      </c>
      <c r="V123" s="6">
        <v>34735000</v>
      </c>
      <c r="W123" s="86">
        <f>S123/P123</f>
        <v>0.3859444444444444</v>
      </c>
      <c r="X123" s="36"/>
    </row>
    <row r="124" spans="1:24" s="38" customFormat="1" ht="12.75" customHeight="1">
      <c r="A124" s="47" t="s">
        <v>10</v>
      </c>
      <c r="B124" s="48" t="s">
        <v>17</v>
      </c>
      <c r="C124" s="48" t="s">
        <v>12</v>
      </c>
      <c r="D124" s="48" t="s">
        <v>19</v>
      </c>
      <c r="E124" s="49" t="s">
        <v>93</v>
      </c>
      <c r="F124" s="120">
        <v>8</v>
      </c>
      <c r="G124" s="49" t="s">
        <v>13</v>
      </c>
      <c r="H124" s="64" t="s">
        <v>14</v>
      </c>
      <c r="I124" s="50" t="s">
        <v>15</v>
      </c>
      <c r="J124" s="48" t="s">
        <v>176</v>
      </c>
      <c r="K124" s="6"/>
      <c r="L124" s="6"/>
      <c r="M124" s="6">
        <v>55000000</v>
      </c>
      <c r="N124" s="6"/>
      <c r="O124" s="6"/>
      <c r="P124" s="94">
        <f>K124-L124+M124-Q124-N124+O124</f>
        <v>55000000</v>
      </c>
      <c r="Q124" s="6"/>
      <c r="R124" s="6">
        <v>46055311</v>
      </c>
      <c r="S124" s="6">
        <v>46055311</v>
      </c>
      <c r="T124" s="6">
        <v>46055311</v>
      </c>
      <c r="U124" s="6">
        <v>46055311</v>
      </c>
      <c r="V124" s="6">
        <v>46055311</v>
      </c>
      <c r="W124" s="86">
        <f>S124/P124</f>
        <v>0.837369290909091</v>
      </c>
      <c r="X124" s="36"/>
    </row>
    <row r="125" spans="1:24" s="35" customFormat="1" ht="12.75" customHeight="1">
      <c r="A125" s="42" t="s">
        <v>10</v>
      </c>
      <c r="B125" s="43" t="s">
        <v>17</v>
      </c>
      <c r="C125" s="43" t="s">
        <v>12</v>
      </c>
      <c r="D125" s="43" t="s">
        <v>19</v>
      </c>
      <c r="E125" s="51">
        <v>22</v>
      </c>
      <c r="F125" s="44"/>
      <c r="G125" s="44"/>
      <c r="H125" s="63"/>
      <c r="I125" s="45" t="s">
        <v>15</v>
      </c>
      <c r="J125" s="46" t="s">
        <v>172</v>
      </c>
      <c r="K125" s="4"/>
      <c r="L125" s="4">
        <f>SUM(L126:L126)</f>
        <v>0</v>
      </c>
      <c r="M125" s="4">
        <f>SUM(M126:M126)</f>
        <v>11200000</v>
      </c>
      <c r="N125" s="4">
        <f>SUM(N126:N126)</f>
        <v>0</v>
      </c>
      <c r="O125" s="4">
        <f>SUM(O126:O126)</f>
        <v>0</v>
      </c>
      <c r="P125" s="100">
        <f>P126</f>
        <v>11200000</v>
      </c>
      <c r="Q125" s="4">
        <f>SUM(Q126:Q126)</f>
        <v>0</v>
      </c>
      <c r="R125" s="4">
        <f>SUM(R126)</f>
        <v>9155314.85</v>
      </c>
      <c r="S125" s="4">
        <f>SUM(S126)</f>
        <v>9155314.85</v>
      </c>
      <c r="T125" s="4">
        <f>SUM(T126)</f>
        <v>9155314.85</v>
      </c>
      <c r="U125" s="4">
        <f>SUM(U126)</f>
        <v>9058189.85</v>
      </c>
      <c r="V125" s="4">
        <f>SUM(V126)</f>
        <v>9058189.85</v>
      </c>
      <c r="W125" s="86">
        <f aca="true" t="shared" si="28" ref="W125:W149">S125/P125</f>
        <v>0.8174388258928571</v>
      </c>
      <c r="X125" s="36"/>
    </row>
    <row r="126" spans="1:24" s="117" customFormat="1" ht="12.75" customHeight="1">
      <c r="A126" s="104" t="s">
        <v>10</v>
      </c>
      <c r="B126" s="105">
        <v>2</v>
      </c>
      <c r="C126" s="105">
        <v>0</v>
      </c>
      <c r="D126" s="105">
        <v>4</v>
      </c>
      <c r="E126" s="112">
        <v>22</v>
      </c>
      <c r="F126" s="113">
        <v>1</v>
      </c>
      <c r="G126" s="106" t="s">
        <v>13</v>
      </c>
      <c r="H126" s="107" t="s">
        <v>14</v>
      </c>
      <c r="I126" s="108" t="s">
        <v>15</v>
      </c>
      <c r="J126" s="114" t="s">
        <v>171</v>
      </c>
      <c r="K126" s="115">
        <v>0</v>
      </c>
      <c r="L126" s="115"/>
      <c r="M126" s="115">
        <f>10000000+1200000</f>
        <v>11200000</v>
      </c>
      <c r="N126" s="115"/>
      <c r="O126" s="115"/>
      <c r="P126" s="94">
        <f>K126-L126+M126-Q126-N126+O126</f>
        <v>11200000</v>
      </c>
      <c r="Q126" s="94"/>
      <c r="R126" s="115">
        <v>9155314.85</v>
      </c>
      <c r="S126" s="115">
        <v>9155314.85</v>
      </c>
      <c r="T126" s="115">
        <v>9155314.85</v>
      </c>
      <c r="U126" s="115">
        <v>9058189.85</v>
      </c>
      <c r="V126" s="115">
        <v>9058189.85</v>
      </c>
      <c r="W126" s="109">
        <f t="shared" si="28"/>
        <v>0.8174388258928571</v>
      </c>
      <c r="X126" s="116"/>
    </row>
    <row r="127" spans="1:24" s="35" customFormat="1" ht="27" customHeight="1">
      <c r="A127" s="42" t="s">
        <v>10</v>
      </c>
      <c r="B127" s="43" t="s">
        <v>17</v>
      </c>
      <c r="C127" s="43" t="s">
        <v>12</v>
      </c>
      <c r="D127" s="43" t="s">
        <v>19</v>
      </c>
      <c r="E127" s="51">
        <v>41</v>
      </c>
      <c r="F127" s="44"/>
      <c r="G127" s="44"/>
      <c r="H127" s="63"/>
      <c r="I127" s="45" t="s">
        <v>15</v>
      </c>
      <c r="J127" s="46" t="s">
        <v>96</v>
      </c>
      <c r="K127" s="4">
        <f>SUM(K128:K129)</f>
        <v>2930370945</v>
      </c>
      <c r="L127" s="4">
        <f>SUM(L128:L129)</f>
        <v>69717100</v>
      </c>
      <c r="M127" s="4">
        <f>SUM(M128:M129)</f>
        <v>404542315</v>
      </c>
      <c r="N127" s="4">
        <f>SUM(N128:N128)</f>
        <v>0</v>
      </c>
      <c r="O127" s="4">
        <f>SUM(O128:O128)</f>
        <v>0</v>
      </c>
      <c r="P127" s="100">
        <f>SUM(P128:P129)</f>
        <v>3265196160</v>
      </c>
      <c r="Q127" s="4">
        <f>SUM(Q128:Q128)</f>
        <v>0</v>
      </c>
      <c r="R127" s="4">
        <f>SUM(R128:R129)</f>
        <v>3217465977.19</v>
      </c>
      <c r="S127" s="4">
        <f>SUM(S128:S129)</f>
        <v>3217465977.19</v>
      </c>
      <c r="T127" s="4">
        <f>SUM(T128:T129)</f>
        <v>3217465977.19</v>
      </c>
      <c r="U127" s="4">
        <f>SUM(U128:U129)</f>
        <v>3132522185.19</v>
      </c>
      <c r="V127" s="4">
        <f>SUM(V128:V129)</f>
        <v>3132522185.19</v>
      </c>
      <c r="W127" s="86">
        <f t="shared" si="28"/>
        <v>0.9853821392433587</v>
      </c>
      <c r="X127" s="36"/>
    </row>
    <row r="128" spans="1:24" s="110" customFormat="1" ht="12.75" customHeight="1">
      <c r="A128" s="104" t="s">
        <v>10</v>
      </c>
      <c r="B128" s="105" t="s">
        <v>17</v>
      </c>
      <c r="C128" s="105" t="s">
        <v>12</v>
      </c>
      <c r="D128" s="105" t="s">
        <v>19</v>
      </c>
      <c r="E128" s="112">
        <v>41</v>
      </c>
      <c r="F128" s="112">
        <v>13</v>
      </c>
      <c r="G128" s="106" t="s">
        <v>13</v>
      </c>
      <c r="H128" s="107" t="s">
        <v>14</v>
      </c>
      <c r="I128" s="108" t="s">
        <v>15</v>
      </c>
      <c r="J128" s="105" t="s">
        <v>96</v>
      </c>
      <c r="K128" s="94">
        <v>1490433536</v>
      </c>
      <c r="L128" s="94">
        <f>61765500+6221600</f>
        <v>67987100</v>
      </c>
      <c r="M128" s="94">
        <f>60934000+186758862</f>
        <v>247692862</v>
      </c>
      <c r="N128" s="94"/>
      <c r="O128" s="94"/>
      <c r="P128" s="94">
        <f>K128-L128+M128-Q128-N128+O128</f>
        <v>1670139298</v>
      </c>
      <c r="Q128" s="94"/>
      <c r="R128" s="94">
        <v>1654678455.19</v>
      </c>
      <c r="S128" s="94">
        <v>1654678455.19</v>
      </c>
      <c r="T128" s="94">
        <v>1654678455.19</v>
      </c>
      <c r="U128" s="94">
        <v>1572826371.19</v>
      </c>
      <c r="V128" s="94">
        <v>1572826371.19</v>
      </c>
      <c r="W128" s="109">
        <f t="shared" si="28"/>
        <v>0.9907427824562213</v>
      </c>
      <c r="X128" s="102"/>
    </row>
    <row r="129" spans="1:24" s="38" customFormat="1" ht="12.75" customHeight="1">
      <c r="A129" s="47" t="s">
        <v>10</v>
      </c>
      <c r="B129" s="48" t="s">
        <v>17</v>
      </c>
      <c r="C129" s="48" t="s">
        <v>12</v>
      </c>
      <c r="D129" s="48" t="s">
        <v>19</v>
      </c>
      <c r="E129" s="54">
        <v>41</v>
      </c>
      <c r="F129" s="54">
        <v>13</v>
      </c>
      <c r="G129" s="49" t="s">
        <v>128</v>
      </c>
      <c r="H129" s="64" t="s">
        <v>93</v>
      </c>
      <c r="I129" s="50" t="s">
        <v>15</v>
      </c>
      <c r="J129" s="48" t="s">
        <v>96</v>
      </c>
      <c r="K129" s="6">
        <v>1439937409</v>
      </c>
      <c r="L129" s="6">
        <v>1730000</v>
      </c>
      <c r="M129" s="6">
        <v>156849453</v>
      </c>
      <c r="N129" s="6"/>
      <c r="O129" s="6"/>
      <c r="P129" s="94">
        <f>K129-L129+M129-Q129-N129+O129</f>
        <v>1595056862</v>
      </c>
      <c r="Q129" s="6"/>
      <c r="R129" s="6">
        <v>1562787522</v>
      </c>
      <c r="S129" s="6">
        <v>1562787522</v>
      </c>
      <c r="T129" s="6">
        <v>1562787522</v>
      </c>
      <c r="U129" s="6">
        <v>1559695814</v>
      </c>
      <c r="V129" s="6">
        <v>1559695814</v>
      </c>
      <c r="W129" s="86">
        <f t="shared" si="28"/>
        <v>0.9797691601040867</v>
      </c>
      <c r="X129" s="36"/>
    </row>
    <row r="130" spans="1:24" s="35" customFormat="1" ht="19.5" customHeight="1">
      <c r="A130" s="42" t="s">
        <v>10</v>
      </c>
      <c r="B130" s="43" t="s">
        <v>17</v>
      </c>
      <c r="C130" s="43" t="s">
        <v>12</v>
      </c>
      <c r="D130" s="43" t="s">
        <v>19</v>
      </c>
      <c r="E130" s="51">
        <v>999</v>
      </c>
      <c r="F130" s="51"/>
      <c r="G130" s="44" t="s">
        <v>128</v>
      </c>
      <c r="H130" s="63" t="s">
        <v>93</v>
      </c>
      <c r="I130" s="45"/>
      <c r="J130" s="141" t="s">
        <v>183</v>
      </c>
      <c r="K130" s="2"/>
      <c r="L130" s="2"/>
      <c r="M130" s="2">
        <v>1730000</v>
      </c>
      <c r="N130" s="2"/>
      <c r="O130" s="2"/>
      <c r="P130" s="134">
        <f>K130-L130+M130-Q130-N130+O130</f>
        <v>1730000</v>
      </c>
      <c r="Q130" s="2"/>
      <c r="R130" s="2">
        <v>1730000</v>
      </c>
      <c r="S130" s="2">
        <v>1730000</v>
      </c>
      <c r="T130" s="2">
        <v>1730000</v>
      </c>
      <c r="U130" s="2">
        <v>1730000</v>
      </c>
      <c r="V130" s="2">
        <v>1730000</v>
      </c>
      <c r="W130" s="86">
        <v>0</v>
      </c>
      <c r="X130" s="36"/>
    </row>
    <row r="131" spans="1:24" s="35" customFormat="1" ht="12.75" customHeight="1">
      <c r="A131" s="42" t="s">
        <v>10</v>
      </c>
      <c r="B131" s="43" t="s">
        <v>46</v>
      </c>
      <c r="C131" s="43"/>
      <c r="D131" s="43"/>
      <c r="E131" s="51"/>
      <c r="F131" s="44"/>
      <c r="G131" s="44"/>
      <c r="H131" s="63"/>
      <c r="I131" s="45"/>
      <c r="J131" s="46" t="s">
        <v>147</v>
      </c>
      <c r="K131" s="4">
        <f aca="true" t="shared" si="29" ref="K131:V131">K132+K135+K138</f>
        <v>599987000</v>
      </c>
      <c r="L131" s="4">
        <f>L132+L135+L138</f>
        <v>10000000</v>
      </c>
      <c r="M131" s="4">
        <f t="shared" si="29"/>
        <v>10000000</v>
      </c>
      <c r="N131" s="4">
        <f t="shared" si="29"/>
        <v>0</v>
      </c>
      <c r="O131" s="4">
        <f t="shared" si="29"/>
        <v>0</v>
      </c>
      <c r="P131" s="100">
        <f t="shared" si="29"/>
        <v>599987000</v>
      </c>
      <c r="Q131" s="4">
        <f t="shared" si="29"/>
        <v>0</v>
      </c>
      <c r="R131" s="4">
        <f t="shared" si="29"/>
        <v>131422057</v>
      </c>
      <c r="S131" s="4">
        <f t="shared" si="29"/>
        <v>131422057</v>
      </c>
      <c r="T131" s="4">
        <f t="shared" si="29"/>
        <v>131422057</v>
      </c>
      <c r="U131" s="4">
        <f t="shared" si="29"/>
        <v>131422057</v>
      </c>
      <c r="V131" s="4">
        <f t="shared" si="29"/>
        <v>131422057</v>
      </c>
      <c r="W131" s="86">
        <f t="shared" si="28"/>
        <v>0.21904150756599727</v>
      </c>
      <c r="X131" s="36"/>
    </row>
    <row r="132" spans="1:24" s="35" customFormat="1" ht="18" customHeight="1">
      <c r="A132" s="42" t="s">
        <v>10</v>
      </c>
      <c r="B132" s="43">
        <v>3</v>
      </c>
      <c r="C132" s="43">
        <v>2</v>
      </c>
      <c r="D132" s="43"/>
      <c r="E132" s="51"/>
      <c r="F132" s="44"/>
      <c r="G132" s="44"/>
      <c r="H132" s="63"/>
      <c r="I132" s="45"/>
      <c r="J132" s="46" t="s">
        <v>149</v>
      </c>
      <c r="K132" s="4">
        <f aca="true" t="shared" si="30" ref="K132:V132">K133</f>
        <v>106197000</v>
      </c>
      <c r="L132" s="4">
        <f t="shared" si="30"/>
        <v>0</v>
      </c>
      <c r="M132" s="4">
        <f t="shared" si="30"/>
        <v>0</v>
      </c>
      <c r="N132" s="4">
        <f t="shared" si="30"/>
        <v>0</v>
      </c>
      <c r="O132" s="4">
        <f t="shared" si="30"/>
        <v>0</v>
      </c>
      <c r="P132" s="100">
        <f t="shared" si="30"/>
        <v>106197000</v>
      </c>
      <c r="Q132" s="4">
        <f t="shared" si="30"/>
        <v>0</v>
      </c>
      <c r="R132" s="4">
        <f t="shared" si="30"/>
        <v>101122074</v>
      </c>
      <c r="S132" s="4">
        <f t="shared" si="30"/>
        <v>101122074</v>
      </c>
      <c r="T132" s="4">
        <f t="shared" si="30"/>
        <v>101122074</v>
      </c>
      <c r="U132" s="4">
        <f t="shared" si="30"/>
        <v>101122074</v>
      </c>
      <c r="V132" s="4">
        <f t="shared" si="30"/>
        <v>101122074</v>
      </c>
      <c r="W132" s="86">
        <f t="shared" si="28"/>
        <v>0.9522121528856747</v>
      </c>
      <c r="X132" s="36"/>
    </row>
    <row r="133" spans="1:24" s="35" customFormat="1" ht="12.75" customHeight="1">
      <c r="A133" s="42" t="s">
        <v>10</v>
      </c>
      <c r="B133" s="43">
        <v>3</v>
      </c>
      <c r="C133" s="43">
        <v>2</v>
      </c>
      <c r="D133" s="43">
        <v>1</v>
      </c>
      <c r="E133" s="51"/>
      <c r="F133" s="44"/>
      <c r="G133" s="44"/>
      <c r="H133" s="63"/>
      <c r="I133" s="45" t="s">
        <v>120</v>
      </c>
      <c r="J133" s="46" t="s">
        <v>150</v>
      </c>
      <c r="K133" s="4">
        <f aca="true" t="shared" si="31" ref="K133:V133">SUM(K134)</f>
        <v>106197000</v>
      </c>
      <c r="L133" s="4">
        <f t="shared" si="31"/>
        <v>0</v>
      </c>
      <c r="M133" s="4">
        <f t="shared" si="31"/>
        <v>0</v>
      </c>
      <c r="N133" s="4">
        <f t="shared" si="31"/>
        <v>0</v>
      </c>
      <c r="O133" s="4">
        <f t="shared" si="31"/>
        <v>0</v>
      </c>
      <c r="P133" s="100">
        <f t="shared" si="31"/>
        <v>106197000</v>
      </c>
      <c r="Q133" s="4">
        <f t="shared" si="31"/>
        <v>0</v>
      </c>
      <c r="R133" s="4">
        <f t="shared" si="31"/>
        <v>101122074</v>
      </c>
      <c r="S133" s="4">
        <f t="shared" si="31"/>
        <v>101122074</v>
      </c>
      <c r="T133" s="4">
        <f t="shared" si="31"/>
        <v>101122074</v>
      </c>
      <c r="U133" s="4">
        <f t="shared" si="31"/>
        <v>101122074</v>
      </c>
      <c r="V133" s="4">
        <f t="shared" si="31"/>
        <v>101122074</v>
      </c>
      <c r="W133" s="86">
        <f t="shared" si="28"/>
        <v>0.9522121528856747</v>
      </c>
      <c r="X133" s="36"/>
    </row>
    <row r="134" spans="1:24" s="38" customFormat="1" ht="12" customHeight="1">
      <c r="A134" s="47" t="s">
        <v>10</v>
      </c>
      <c r="B134" s="48" t="s">
        <v>46</v>
      </c>
      <c r="C134" s="48" t="s">
        <v>17</v>
      </c>
      <c r="D134" s="48" t="s">
        <v>11</v>
      </c>
      <c r="E134" s="49" t="s">
        <v>11</v>
      </c>
      <c r="F134" s="49"/>
      <c r="G134" s="49" t="s">
        <v>13</v>
      </c>
      <c r="H134" s="64" t="s">
        <v>88</v>
      </c>
      <c r="I134" s="50" t="s">
        <v>120</v>
      </c>
      <c r="J134" s="48" t="s">
        <v>121</v>
      </c>
      <c r="K134" s="6">
        <v>106197000</v>
      </c>
      <c r="L134" s="6"/>
      <c r="M134" s="6"/>
      <c r="N134" s="6"/>
      <c r="O134" s="6"/>
      <c r="P134" s="94">
        <f>K134-L134+M134-Q134-N134+O134</f>
        <v>106197000</v>
      </c>
      <c r="Q134" s="6"/>
      <c r="R134" s="6">
        <v>101122074</v>
      </c>
      <c r="S134" s="6">
        <v>101122074</v>
      </c>
      <c r="T134" s="6">
        <v>101122074</v>
      </c>
      <c r="U134" s="6">
        <v>101122074</v>
      </c>
      <c r="V134" s="6">
        <v>101122074</v>
      </c>
      <c r="W134" s="86">
        <f t="shared" si="28"/>
        <v>0.9522121528856747</v>
      </c>
      <c r="X134" s="36"/>
    </row>
    <row r="135" spans="1:24" s="35" customFormat="1" ht="12" customHeight="1">
      <c r="A135" s="42" t="s">
        <v>10</v>
      </c>
      <c r="B135" s="43">
        <v>3</v>
      </c>
      <c r="C135" s="43">
        <v>4</v>
      </c>
      <c r="D135" s="43"/>
      <c r="E135" s="44"/>
      <c r="F135" s="44"/>
      <c r="G135" s="44"/>
      <c r="H135" s="63"/>
      <c r="I135" s="45"/>
      <c r="J135" s="43" t="s">
        <v>151</v>
      </c>
      <c r="K135" s="2">
        <f aca="true" t="shared" si="32" ref="K135:V135">K136</f>
        <v>27140000</v>
      </c>
      <c r="L135" s="2">
        <f t="shared" si="32"/>
        <v>0</v>
      </c>
      <c r="M135" s="2">
        <f t="shared" si="32"/>
        <v>0</v>
      </c>
      <c r="N135" s="2">
        <f t="shared" si="32"/>
        <v>0</v>
      </c>
      <c r="O135" s="2">
        <f t="shared" si="32"/>
        <v>0</v>
      </c>
      <c r="P135" s="134">
        <f t="shared" si="32"/>
        <v>27140000</v>
      </c>
      <c r="Q135" s="2">
        <f t="shared" si="32"/>
        <v>0</v>
      </c>
      <c r="R135" s="2">
        <f t="shared" si="32"/>
        <v>27140000</v>
      </c>
      <c r="S135" s="2">
        <f t="shared" si="32"/>
        <v>27140000</v>
      </c>
      <c r="T135" s="2">
        <f t="shared" si="32"/>
        <v>27140000</v>
      </c>
      <c r="U135" s="2">
        <f t="shared" si="32"/>
        <v>27140000</v>
      </c>
      <c r="V135" s="2">
        <f t="shared" si="32"/>
        <v>27140000</v>
      </c>
      <c r="W135" s="86">
        <f t="shared" si="28"/>
        <v>1</v>
      </c>
      <c r="X135" s="36"/>
    </row>
    <row r="136" spans="1:24" s="35" customFormat="1" ht="12" customHeight="1">
      <c r="A136" s="42" t="s">
        <v>10</v>
      </c>
      <c r="B136" s="43">
        <v>3</v>
      </c>
      <c r="C136" s="43">
        <v>4</v>
      </c>
      <c r="D136" s="43">
        <v>1</v>
      </c>
      <c r="E136" s="44"/>
      <c r="F136" s="44"/>
      <c r="G136" s="44"/>
      <c r="H136" s="63"/>
      <c r="I136" s="45" t="s">
        <v>15</v>
      </c>
      <c r="J136" s="43" t="s">
        <v>152</v>
      </c>
      <c r="K136" s="2">
        <f aca="true" t="shared" si="33" ref="K136:V136">SUM(K137)</f>
        <v>27140000</v>
      </c>
      <c r="L136" s="2">
        <f t="shared" si="33"/>
        <v>0</v>
      </c>
      <c r="M136" s="2">
        <f t="shared" si="33"/>
        <v>0</v>
      </c>
      <c r="N136" s="2">
        <f t="shared" si="33"/>
        <v>0</v>
      </c>
      <c r="O136" s="2">
        <f t="shared" si="33"/>
        <v>0</v>
      </c>
      <c r="P136" s="134">
        <f t="shared" si="33"/>
        <v>27140000</v>
      </c>
      <c r="Q136" s="2">
        <f t="shared" si="33"/>
        <v>0</v>
      </c>
      <c r="R136" s="2">
        <f t="shared" si="33"/>
        <v>27140000</v>
      </c>
      <c r="S136" s="2">
        <f t="shared" si="33"/>
        <v>27140000</v>
      </c>
      <c r="T136" s="2">
        <f t="shared" si="33"/>
        <v>27140000</v>
      </c>
      <c r="U136" s="2">
        <f t="shared" si="33"/>
        <v>27140000</v>
      </c>
      <c r="V136" s="2">
        <f t="shared" si="33"/>
        <v>27140000</v>
      </c>
      <c r="W136" s="86">
        <f t="shared" si="28"/>
        <v>1</v>
      </c>
      <c r="X136" s="36"/>
    </row>
    <row r="137" spans="1:24" s="38" customFormat="1" ht="45" customHeight="1">
      <c r="A137" s="47" t="s">
        <v>10</v>
      </c>
      <c r="B137" s="48" t="s">
        <v>46</v>
      </c>
      <c r="C137" s="48" t="s">
        <v>19</v>
      </c>
      <c r="D137" s="48" t="s">
        <v>11</v>
      </c>
      <c r="E137" s="49" t="s">
        <v>122</v>
      </c>
      <c r="F137" s="49"/>
      <c r="G137" s="49" t="s">
        <v>13</v>
      </c>
      <c r="H137" s="64" t="s">
        <v>14</v>
      </c>
      <c r="I137" s="50" t="s">
        <v>15</v>
      </c>
      <c r="J137" s="52" t="s">
        <v>123</v>
      </c>
      <c r="K137" s="6">
        <v>27140000</v>
      </c>
      <c r="L137" s="6"/>
      <c r="M137" s="6"/>
      <c r="N137" s="6"/>
      <c r="O137" s="6"/>
      <c r="P137" s="94">
        <f>K137-L137+M137-Q137-N137+O137</f>
        <v>27140000</v>
      </c>
      <c r="Q137" s="6"/>
      <c r="R137" s="6">
        <v>27140000</v>
      </c>
      <c r="S137" s="6">
        <v>27140000</v>
      </c>
      <c r="T137" s="6">
        <v>27140000</v>
      </c>
      <c r="U137" s="6">
        <v>27140000</v>
      </c>
      <c r="V137" s="6">
        <v>27140000</v>
      </c>
      <c r="W137" s="86">
        <f t="shared" si="28"/>
        <v>1</v>
      </c>
      <c r="X137" s="36"/>
    </row>
    <row r="138" spans="1:24" s="35" customFormat="1" ht="18" customHeight="1">
      <c r="A138" s="42" t="s">
        <v>10</v>
      </c>
      <c r="B138" s="43" t="s">
        <v>46</v>
      </c>
      <c r="C138" s="43" t="s">
        <v>55</v>
      </c>
      <c r="D138" s="43"/>
      <c r="E138" s="44"/>
      <c r="F138" s="44"/>
      <c r="G138" s="44"/>
      <c r="H138" s="63"/>
      <c r="I138" s="45"/>
      <c r="J138" s="46" t="s">
        <v>153</v>
      </c>
      <c r="K138" s="2">
        <f aca="true" t="shared" si="34" ref="K138:V138">K139</f>
        <v>466650000</v>
      </c>
      <c r="L138" s="2">
        <f t="shared" si="34"/>
        <v>10000000</v>
      </c>
      <c r="M138" s="2">
        <f t="shared" si="34"/>
        <v>10000000</v>
      </c>
      <c r="N138" s="2">
        <f t="shared" si="34"/>
        <v>0</v>
      </c>
      <c r="O138" s="2">
        <f t="shared" si="34"/>
        <v>0</v>
      </c>
      <c r="P138" s="134">
        <f t="shared" si="34"/>
        <v>466650000</v>
      </c>
      <c r="Q138" s="2">
        <f t="shared" si="34"/>
        <v>0</v>
      </c>
      <c r="R138" s="2">
        <f t="shared" si="34"/>
        <v>3159983</v>
      </c>
      <c r="S138" s="2">
        <f t="shared" si="34"/>
        <v>3159983</v>
      </c>
      <c r="T138" s="2">
        <f t="shared" si="34"/>
        <v>3159983</v>
      </c>
      <c r="U138" s="2">
        <f t="shared" si="34"/>
        <v>3159983</v>
      </c>
      <c r="V138" s="2">
        <f t="shared" si="34"/>
        <v>3159983</v>
      </c>
      <c r="W138" s="86">
        <f t="shared" si="28"/>
        <v>0.006771633986928104</v>
      </c>
      <c r="X138" s="36"/>
    </row>
    <row r="139" spans="1:24" s="35" customFormat="1" ht="18" customHeight="1">
      <c r="A139" s="42" t="s">
        <v>10</v>
      </c>
      <c r="B139" s="43" t="s">
        <v>46</v>
      </c>
      <c r="C139" s="43" t="s">
        <v>55</v>
      </c>
      <c r="D139" s="43">
        <v>1</v>
      </c>
      <c r="E139" s="44"/>
      <c r="F139" s="44"/>
      <c r="G139" s="44"/>
      <c r="H139" s="63"/>
      <c r="I139" s="45" t="s">
        <v>15</v>
      </c>
      <c r="J139" s="46" t="s">
        <v>124</v>
      </c>
      <c r="K139" s="2">
        <f aca="true" t="shared" si="35" ref="K139:Q139">SUM(K141)</f>
        <v>466650000</v>
      </c>
      <c r="L139" s="2">
        <f t="shared" si="35"/>
        <v>10000000</v>
      </c>
      <c r="M139" s="2">
        <f>SUM(M140:M141)</f>
        <v>10000000</v>
      </c>
      <c r="N139" s="2">
        <f t="shared" si="35"/>
        <v>0</v>
      </c>
      <c r="O139" s="2">
        <f t="shared" si="35"/>
        <v>0</v>
      </c>
      <c r="P139" s="134">
        <f>SUM(P140:P141)</f>
        <v>466650000</v>
      </c>
      <c r="Q139" s="2">
        <f t="shared" si="35"/>
        <v>0</v>
      </c>
      <c r="R139" s="2">
        <f>SUM(R140:R141)</f>
        <v>3159983</v>
      </c>
      <c r="S139" s="2">
        <f>SUM(S140:S141)</f>
        <v>3159983</v>
      </c>
      <c r="T139" s="2">
        <f>SUM(T140:T141)</f>
        <v>3159983</v>
      </c>
      <c r="U139" s="2">
        <f>SUM(U140:U141)</f>
        <v>3159983</v>
      </c>
      <c r="V139" s="2">
        <f>SUM(V140:V141)</f>
        <v>3159983</v>
      </c>
      <c r="W139" s="86">
        <f t="shared" si="28"/>
        <v>0.006771633986928104</v>
      </c>
      <c r="X139" s="36"/>
    </row>
    <row r="140" spans="1:24" s="35" customFormat="1" ht="18" customHeight="1">
      <c r="A140" s="47" t="s">
        <v>10</v>
      </c>
      <c r="B140" s="48" t="s">
        <v>46</v>
      </c>
      <c r="C140" s="48" t="s">
        <v>55</v>
      </c>
      <c r="D140" s="48" t="s">
        <v>11</v>
      </c>
      <c r="E140" s="49" t="s">
        <v>11</v>
      </c>
      <c r="F140" s="54">
        <v>1</v>
      </c>
      <c r="G140" s="49" t="s">
        <v>128</v>
      </c>
      <c r="H140" s="64" t="s">
        <v>129</v>
      </c>
      <c r="I140" s="50" t="s">
        <v>15</v>
      </c>
      <c r="J140" s="52" t="s">
        <v>179</v>
      </c>
      <c r="K140" s="2"/>
      <c r="L140" s="2"/>
      <c r="M140" s="6">
        <v>10000000</v>
      </c>
      <c r="N140" s="2"/>
      <c r="O140" s="2"/>
      <c r="P140" s="94">
        <f>K140-L140+M140-Q140-N140+O140</f>
        <v>10000000</v>
      </c>
      <c r="Q140" s="2"/>
      <c r="R140" s="6">
        <v>3159983</v>
      </c>
      <c r="S140" s="6">
        <v>3159983</v>
      </c>
      <c r="T140" s="6">
        <v>3159983</v>
      </c>
      <c r="U140" s="6">
        <v>3159983</v>
      </c>
      <c r="V140" s="6">
        <v>3159983</v>
      </c>
      <c r="W140" s="86">
        <f t="shared" si="28"/>
        <v>0.3159983</v>
      </c>
      <c r="X140" s="36"/>
    </row>
    <row r="141" spans="1:24" s="38" customFormat="1" ht="12" customHeight="1" thickBot="1">
      <c r="A141" s="47" t="s">
        <v>10</v>
      </c>
      <c r="B141" s="48" t="s">
        <v>46</v>
      </c>
      <c r="C141" s="48" t="s">
        <v>55</v>
      </c>
      <c r="D141" s="48" t="s">
        <v>11</v>
      </c>
      <c r="E141" s="49" t="s">
        <v>11</v>
      </c>
      <c r="F141" s="54">
        <v>2</v>
      </c>
      <c r="G141" s="49" t="s">
        <v>128</v>
      </c>
      <c r="H141" s="64" t="s">
        <v>129</v>
      </c>
      <c r="I141" s="50" t="s">
        <v>15</v>
      </c>
      <c r="J141" s="48" t="s">
        <v>173</v>
      </c>
      <c r="K141" s="6">
        <v>466650000</v>
      </c>
      <c r="L141" s="6">
        <v>10000000</v>
      </c>
      <c r="M141" s="6"/>
      <c r="N141" s="6"/>
      <c r="O141" s="6"/>
      <c r="P141" s="94">
        <f>K141-L141+M141-Q141-N141+O141</f>
        <v>456650000</v>
      </c>
      <c r="Q141" s="6"/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86">
        <f t="shared" si="28"/>
        <v>0</v>
      </c>
      <c r="X141" s="36"/>
    </row>
    <row r="142" spans="1:24" s="35" customFormat="1" ht="13.5" customHeight="1" thickTop="1">
      <c r="A142" s="39" t="s">
        <v>125</v>
      </c>
      <c r="B142" s="40"/>
      <c r="C142" s="40"/>
      <c r="D142" s="40"/>
      <c r="E142" s="40"/>
      <c r="F142" s="40"/>
      <c r="G142" s="40"/>
      <c r="H142" s="62"/>
      <c r="I142" s="41"/>
      <c r="J142" s="40" t="s">
        <v>136</v>
      </c>
      <c r="K142" s="5">
        <f aca="true" t="shared" si="36" ref="K142:V142">K143+K145+K147</f>
        <v>24466567258</v>
      </c>
      <c r="L142" s="5">
        <f t="shared" si="36"/>
        <v>0</v>
      </c>
      <c r="M142" s="5">
        <f t="shared" si="36"/>
        <v>0</v>
      </c>
      <c r="N142" s="5">
        <f t="shared" si="36"/>
        <v>1790260000</v>
      </c>
      <c r="O142" s="5">
        <f t="shared" si="36"/>
        <v>0</v>
      </c>
      <c r="P142" s="135">
        <f>P143+P145+P147</f>
        <v>22676307258</v>
      </c>
      <c r="Q142" s="5">
        <f>Q143+Q145+Q147</f>
        <v>0</v>
      </c>
      <c r="R142" s="5">
        <f t="shared" si="36"/>
        <v>20941095477.1</v>
      </c>
      <c r="S142" s="5">
        <f t="shared" si="36"/>
        <v>20941095477.1</v>
      </c>
      <c r="T142" s="5">
        <f t="shared" si="36"/>
        <v>20103342621.1</v>
      </c>
      <c r="U142" s="5">
        <f t="shared" si="36"/>
        <v>15461891398.52</v>
      </c>
      <c r="V142" s="5">
        <f t="shared" si="36"/>
        <v>15461891398.52</v>
      </c>
      <c r="W142" s="86">
        <f t="shared" si="28"/>
        <v>0.9234790849692763</v>
      </c>
      <c r="X142" s="36"/>
    </row>
    <row r="143" spans="1:24" s="35" customFormat="1" ht="12.75" customHeight="1">
      <c r="A143" s="42" t="s">
        <v>125</v>
      </c>
      <c r="B143" s="43"/>
      <c r="C143" s="43"/>
      <c r="D143" s="43"/>
      <c r="E143" s="44"/>
      <c r="F143" s="44"/>
      <c r="G143" s="44"/>
      <c r="H143" s="63"/>
      <c r="I143" s="45"/>
      <c r="J143" s="43" t="s">
        <v>137</v>
      </c>
      <c r="K143" s="4">
        <f aca="true" t="shared" si="37" ref="K143:Q143">SUM(K144:K144)</f>
        <v>16178999115</v>
      </c>
      <c r="L143" s="4">
        <f t="shared" si="37"/>
        <v>0</v>
      </c>
      <c r="M143" s="4">
        <f t="shared" si="37"/>
        <v>0</v>
      </c>
      <c r="N143" s="4">
        <f t="shared" si="37"/>
        <v>1592109009</v>
      </c>
      <c r="O143" s="4">
        <f t="shared" si="37"/>
        <v>0</v>
      </c>
      <c r="P143" s="100">
        <f>SUM(P144:P144)+Q143</f>
        <v>14586890106</v>
      </c>
      <c r="Q143" s="4">
        <f t="shared" si="37"/>
        <v>0</v>
      </c>
      <c r="R143" s="4">
        <f>SUM(R144:R144)</f>
        <v>13349559199</v>
      </c>
      <c r="S143" s="4">
        <f>SUM(S144:S144)</f>
        <v>13349559199</v>
      </c>
      <c r="T143" s="4">
        <f>SUM(T144:T144)</f>
        <v>12976329199</v>
      </c>
      <c r="U143" s="4">
        <f>SUM(U144:U144)</f>
        <v>9573865450.99</v>
      </c>
      <c r="V143" s="4">
        <f>SUM(V144:V144)</f>
        <v>9573865450.99</v>
      </c>
      <c r="W143" s="86">
        <f t="shared" si="28"/>
        <v>0.9151751402794862</v>
      </c>
      <c r="X143" s="36"/>
    </row>
    <row r="144" spans="1:24" s="110" customFormat="1" ht="33" customHeight="1">
      <c r="A144" s="104" t="s">
        <v>125</v>
      </c>
      <c r="B144" s="105" t="s">
        <v>126</v>
      </c>
      <c r="C144" s="105" t="s">
        <v>127</v>
      </c>
      <c r="D144" s="105">
        <v>6</v>
      </c>
      <c r="E144" s="106"/>
      <c r="F144" s="106"/>
      <c r="G144" s="106" t="s">
        <v>13</v>
      </c>
      <c r="H144" s="107" t="s">
        <v>88</v>
      </c>
      <c r="I144" s="108" t="s">
        <v>15</v>
      </c>
      <c r="J144" s="118" t="s">
        <v>164</v>
      </c>
      <c r="K144" s="94">
        <v>16178999115</v>
      </c>
      <c r="L144" s="94"/>
      <c r="M144" s="94"/>
      <c r="N144" s="94">
        <v>1592109009</v>
      </c>
      <c r="O144" s="94"/>
      <c r="P144" s="94">
        <f>K144-L144+M144-N144+O144-Q144</f>
        <v>14586890106</v>
      </c>
      <c r="Q144" s="94">
        <v>0</v>
      </c>
      <c r="R144" s="94">
        <v>13349559199</v>
      </c>
      <c r="S144" s="94">
        <v>13349559199</v>
      </c>
      <c r="T144" s="94">
        <v>12976329199</v>
      </c>
      <c r="U144" s="94">
        <v>9573865450.99</v>
      </c>
      <c r="V144" s="94">
        <v>9573865450.99</v>
      </c>
      <c r="W144" s="109">
        <f t="shared" si="28"/>
        <v>0.9151751402794862</v>
      </c>
      <c r="X144" s="102"/>
    </row>
    <row r="145" spans="1:24" s="35" customFormat="1" ht="12.75" customHeight="1">
      <c r="A145" s="42" t="s">
        <v>125</v>
      </c>
      <c r="B145" s="43"/>
      <c r="C145" s="43"/>
      <c r="D145" s="43"/>
      <c r="E145" s="44"/>
      <c r="F145" s="44"/>
      <c r="G145" s="44"/>
      <c r="H145" s="63"/>
      <c r="I145" s="45"/>
      <c r="J145" s="43" t="s">
        <v>145</v>
      </c>
      <c r="K145" s="2">
        <f aca="true" t="shared" si="38" ref="K145:V145">SUM(K146:K146)</f>
        <v>5264964668</v>
      </c>
      <c r="L145" s="2">
        <f t="shared" si="38"/>
        <v>0</v>
      </c>
      <c r="M145" s="2">
        <f t="shared" si="38"/>
        <v>0</v>
      </c>
      <c r="N145" s="2">
        <f t="shared" si="38"/>
        <v>132531049</v>
      </c>
      <c r="O145" s="2">
        <f t="shared" si="38"/>
        <v>0</v>
      </c>
      <c r="P145" s="134">
        <f t="shared" si="38"/>
        <v>5132433619</v>
      </c>
      <c r="Q145" s="2">
        <f t="shared" si="38"/>
        <v>0</v>
      </c>
      <c r="R145" s="2">
        <f t="shared" si="38"/>
        <v>4925216042.6</v>
      </c>
      <c r="S145" s="2">
        <f t="shared" si="38"/>
        <v>4925216042.6</v>
      </c>
      <c r="T145" s="2">
        <f t="shared" si="38"/>
        <v>4867693186.6</v>
      </c>
      <c r="U145" s="2">
        <f t="shared" si="38"/>
        <v>4259277252.03</v>
      </c>
      <c r="V145" s="2">
        <f t="shared" si="38"/>
        <v>4259277252.03</v>
      </c>
      <c r="W145" s="86">
        <f t="shared" si="28"/>
        <v>0.9596258633267285</v>
      </c>
      <c r="X145" s="36"/>
    </row>
    <row r="146" spans="1:24" s="38" customFormat="1" ht="33" customHeight="1">
      <c r="A146" s="47" t="s">
        <v>125</v>
      </c>
      <c r="B146" s="48" t="s">
        <v>126</v>
      </c>
      <c r="C146" s="48" t="s">
        <v>127</v>
      </c>
      <c r="D146" s="48">
        <v>6</v>
      </c>
      <c r="E146" s="49"/>
      <c r="F146" s="49"/>
      <c r="G146" s="49" t="s">
        <v>13</v>
      </c>
      <c r="H146" s="64" t="s">
        <v>27</v>
      </c>
      <c r="I146" s="50" t="s">
        <v>15</v>
      </c>
      <c r="J146" s="53" t="s">
        <v>164</v>
      </c>
      <c r="K146" s="6">
        <v>5264964668</v>
      </c>
      <c r="L146" s="6"/>
      <c r="M146" s="6"/>
      <c r="N146" s="6">
        <v>132531049</v>
      </c>
      <c r="O146" s="6"/>
      <c r="P146" s="94">
        <f>K146-L146+M146-N146+O146-Q146</f>
        <v>5132433619</v>
      </c>
      <c r="Q146" s="6">
        <v>0</v>
      </c>
      <c r="R146" s="6">
        <v>4925216042.6</v>
      </c>
      <c r="S146" s="6">
        <v>4925216042.6</v>
      </c>
      <c r="T146" s="6">
        <v>4867693186.6</v>
      </c>
      <c r="U146" s="6">
        <v>4259277252.03</v>
      </c>
      <c r="V146" s="6">
        <v>4259277252.03</v>
      </c>
      <c r="W146" s="86">
        <f t="shared" si="28"/>
        <v>0.9596258633267285</v>
      </c>
      <c r="X146" s="36"/>
    </row>
    <row r="147" spans="1:24" s="35" customFormat="1" ht="12.75" customHeight="1">
      <c r="A147" s="42" t="s">
        <v>125</v>
      </c>
      <c r="B147" s="43"/>
      <c r="C147" s="43"/>
      <c r="D147" s="43"/>
      <c r="E147" s="44"/>
      <c r="F147" s="44"/>
      <c r="G147" s="44"/>
      <c r="H147" s="63"/>
      <c r="I147" s="45"/>
      <c r="J147" s="43" t="s">
        <v>138</v>
      </c>
      <c r="K147" s="2">
        <f aca="true" t="shared" si="39" ref="K147:Q147">SUM(K148:K148)</f>
        <v>3022603475</v>
      </c>
      <c r="L147" s="2">
        <f t="shared" si="39"/>
        <v>0</v>
      </c>
      <c r="M147" s="2">
        <f t="shared" si="39"/>
        <v>0</v>
      </c>
      <c r="N147" s="2">
        <f t="shared" si="39"/>
        <v>65619942</v>
      </c>
      <c r="O147" s="2">
        <f t="shared" si="39"/>
        <v>0</v>
      </c>
      <c r="P147" s="134">
        <f>SUM(P148:P148)+Q147</f>
        <v>2956983533</v>
      </c>
      <c r="Q147" s="2">
        <f t="shared" si="39"/>
        <v>0</v>
      </c>
      <c r="R147" s="2">
        <f>SUM(R148:R148)</f>
        <v>2666320235.5</v>
      </c>
      <c r="S147" s="2">
        <f>SUM(S148:S148)</f>
        <v>2666320235.5</v>
      </c>
      <c r="T147" s="2">
        <f>SUM(T148:T148)</f>
        <v>2259320235.5</v>
      </c>
      <c r="U147" s="2">
        <f>SUM(U148:U148)</f>
        <v>1628748695.5</v>
      </c>
      <c r="V147" s="2">
        <f>SUM(V148:V148)</f>
        <v>1628748695.5</v>
      </c>
      <c r="W147" s="86">
        <f t="shared" si="28"/>
        <v>0.901702767615649</v>
      </c>
      <c r="X147" s="36"/>
    </row>
    <row r="148" spans="1:24" s="110" customFormat="1" ht="39.75" customHeight="1" thickBot="1">
      <c r="A148" s="104" t="s">
        <v>125</v>
      </c>
      <c r="B148" s="105" t="s">
        <v>126</v>
      </c>
      <c r="C148" s="105" t="s">
        <v>127</v>
      </c>
      <c r="D148" s="105">
        <v>6</v>
      </c>
      <c r="E148" s="106"/>
      <c r="F148" s="106"/>
      <c r="G148" s="106" t="s">
        <v>128</v>
      </c>
      <c r="H148" s="107" t="s">
        <v>129</v>
      </c>
      <c r="I148" s="108" t="s">
        <v>15</v>
      </c>
      <c r="J148" s="118" t="s">
        <v>164</v>
      </c>
      <c r="K148" s="94">
        <v>3022603475</v>
      </c>
      <c r="L148" s="94"/>
      <c r="M148" s="94"/>
      <c r="N148" s="94">
        <v>65619942</v>
      </c>
      <c r="O148" s="94"/>
      <c r="P148" s="94">
        <f>K148-L148+M148+O148-Q148-N148</f>
        <v>2956983533</v>
      </c>
      <c r="Q148" s="94">
        <v>0</v>
      </c>
      <c r="R148" s="94">
        <v>2666320235.5</v>
      </c>
      <c r="S148" s="94">
        <v>2666320235.5</v>
      </c>
      <c r="T148" s="94">
        <v>2259320235.5</v>
      </c>
      <c r="U148" s="94">
        <v>1628748695.5</v>
      </c>
      <c r="V148" s="94">
        <v>1628748695.5</v>
      </c>
      <c r="W148" s="119">
        <f t="shared" si="28"/>
        <v>0.901702767615649</v>
      </c>
      <c r="X148" s="102"/>
    </row>
    <row r="149" spans="1:24" ht="24.75" customHeight="1" thickBot="1" thickTop="1">
      <c r="A149" s="147" t="s">
        <v>140</v>
      </c>
      <c r="B149" s="148"/>
      <c r="C149" s="148"/>
      <c r="D149" s="148"/>
      <c r="E149" s="148"/>
      <c r="F149" s="148"/>
      <c r="G149" s="148"/>
      <c r="H149" s="148"/>
      <c r="I149" s="148"/>
      <c r="J149" s="149"/>
      <c r="K149" s="3">
        <f aca="true" t="shared" si="40" ref="K149:Q149">K13+K142</f>
        <v>70681833298</v>
      </c>
      <c r="L149" s="3">
        <f>L13+L142</f>
        <v>5279626874.02</v>
      </c>
      <c r="M149" s="3">
        <f>M13+M142</f>
        <v>5279626874.02</v>
      </c>
      <c r="N149" s="3">
        <f t="shared" si="40"/>
        <v>2250661287</v>
      </c>
      <c r="O149" s="3">
        <f t="shared" si="40"/>
        <v>1104000000</v>
      </c>
      <c r="P149" s="136">
        <f t="shared" si="40"/>
        <v>69535172011</v>
      </c>
      <c r="Q149" s="3">
        <f t="shared" si="40"/>
        <v>0</v>
      </c>
      <c r="R149" s="3">
        <f>R13+R142</f>
        <v>63764051984.14</v>
      </c>
      <c r="S149" s="3">
        <f>S13+S142</f>
        <v>63764051984.14</v>
      </c>
      <c r="T149" s="3">
        <f>T13+T142</f>
        <v>62924557206.14</v>
      </c>
      <c r="U149" s="3">
        <f>U13+U142</f>
        <v>56560022051.62001</v>
      </c>
      <c r="V149" s="3">
        <f>V13+V142</f>
        <v>56560022051.62001</v>
      </c>
      <c r="W149" s="123">
        <f t="shared" si="28"/>
        <v>0.9170043035782374</v>
      </c>
      <c r="X149" s="36"/>
    </row>
    <row r="150" spans="10:23" ht="9" customHeight="1" thickTop="1">
      <c r="J150" s="7"/>
      <c r="S150" s="91"/>
      <c r="W150" s="88"/>
    </row>
    <row r="151" spans="2:17" ht="12.75">
      <c r="B151" s="66"/>
      <c r="C151" s="66"/>
      <c r="E151" s="66"/>
      <c r="G151" s="66"/>
      <c r="H151" s="66"/>
      <c r="I151" s="66"/>
      <c r="J151" s="66"/>
      <c r="K151" s="66"/>
      <c r="L151" s="93"/>
      <c r="M151" s="93"/>
      <c r="N151" s="66"/>
      <c r="O151" s="66"/>
      <c r="P151" s="137"/>
      <c r="Q151" s="122"/>
    </row>
    <row r="152" spans="17:23" ht="12.75">
      <c r="Q152" s="126"/>
      <c r="R152" s="126"/>
      <c r="S152" s="126"/>
      <c r="T152" s="126"/>
      <c r="U152" s="126"/>
      <c r="V152" s="126"/>
      <c r="W152" s="126"/>
    </row>
    <row r="153" spans="13:14" ht="12.75">
      <c r="M153" s="140"/>
      <c r="N153" s="139" t="s">
        <v>182</v>
      </c>
    </row>
    <row r="154" ht="12.75">
      <c r="N154" s="139" t="s">
        <v>181</v>
      </c>
    </row>
  </sheetData>
  <sheetProtection/>
  <autoFilter ref="A12:Y149"/>
  <mergeCells count="13">
    <mergeCell ref="S11:S12"/>
    <mergeCell ref="T11:T12"/>
    <mergeCell ref="L11:M11"/>
    <mergeCell ref="U11:U12"/>
    <mergeCell ref="A6:W6"/>
    <mergeCell ref="A149:J149"/>
    <mergeCell ref="A10:I10"/>
    <mergeCell ref="V11:V12"/>
    <mergeCell ref="W11:W12"/>
    <mergeCell ref="A11:I11"/>
    <mergeCell ref="J11:J12"/>
    <mergeCell ref="K11:K12"/>
    <mergeCell ref="R11:R12"/>
  </mergeCells>
  <printOptions horizontalCentered="1"/>
  <pageMargins left="0" right="0" top="0" bottom="0" header="0" footer="0"/>
  <pageSetup horizontalDpi="600" verticalDpi="600" orientation="landscape" scale="68" r:id="rId2"/>
  <headerFooter alignWithMargins="0">
    <oddFooter>&amp;L&amp;C&amp;R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C21" sqref="C21:G21"/>
    </sheetView>
  </sheetViews>
  <sheetFormatPr defaultColWidth="11.421875" defaultRowHeight="12.75"/>
  <sheetData>
    <row r="1" spans="1:5" ht="12.75">
      <c r="A1" s="121"/>
      <c r="B1" s="121"/>
      <c r="C1" s="121"/>
      <c r="D1" s="121"/>
      <c r="E1" s="121"/>
    </row>
    <row r="2" spans="1:5" ht="12.75">
      <c r="A2" s="7"/>
      <c r="B2" s="7"/>
      <c r="C2" s="7"/>
      <c r="D2" s="7"/>
      <c r="E2" s="7"/>
    </row>
    <row r="3" spans="1:5" ht="12.75">
      <c r="A3" s="7"/>
      <c r="B3" s="7"/>
      <c r="C3" s="7"/>
      <c r="D3" s="7"/>
      <c r="E3" s="7"/>
    </row>
    <row r="21" spans="3:7" ht="12.75">
      <c r="C21" s="121"/>
      <c r="D21" s="121"/>
      <c r="E21" s="121"/>
      <c r="F21" s="121"/>
      <c r="G21" s="121"/>
    </row>
    <row r="23" spans="4:8" ht="12.75">
      <c r="D23" s="121"/>
      <c r="E23" s="121"/>
      <c r="F23" s="121"/>
      <c r="G23" s="121"/>
      <c r="H23" s="121"/>
    </row>
    <row r="24" spans="4:8" ht="12.75">
      <c r="D24" s="7"/>
      <c r="E24" s="7"/>
      <c r="F24" s="7"/>
      <c r="G24" s="7"/>
      <c r="H24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2011-03-25T23:50:01Z</dcterms:created>
  <dcterms:modified xsi:type="dcterms:W3CDTF">2017-02-01T19:29:50Z</dcterms:modified>
  <cp:category/>
  <cp:version/>
  <cp:contentType/>
  <cp:contentStatus/>
</cp:coreProperties>
</file>