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hangarita\Desktop\"/>
    </mc:Choice>
  </mc:AlternateContent>
  <bookViews>
    <workbookView xWindow="120" yWindow="120" windowWidth="16605" windowHeight="9435" firstSheet="14" activeTab="15"/>
  </bookViews>
  <sheets>
    <sheet name="MapaRiesgos Gest Comunicaci" sheetId="21" r:id="rId1"/>
    <sheet name="MapaRiesgos Gest Planeación" sheetId="20" r:id="rId2"/>
    <sheet name="MapaRiesgos Gener datos e inf " sheetId="17" r:id="rId3"/>
    <sheet name="MapaRiesgos Gen Conoci e Inv " sheetId="18" r:id="rId4"/>
    <sheet name="Hoja3" sheetId="38" r:id="rId5"/>
    <sheet name="Mapa Riesgos Acreditac. de labo" sheetId="30" r:id="rId6"/>
    <sheet name="MapaRiesgos Atención ciudadano" sheetId="24" r:id="rId7"/>
    <sheet name="MapaRiesgos Gest Juríd Contract" sheetId="7" r:id="rId8"/>
    <sheet name="MapaRiesgos Gest Finan-Contab" sheetId="5" r:id="rId9"/>
    <sheet name="MapaRiesgos Gest Finan-Presupue" sheetId="15" r:id="rId10"/>
    <sheet name="MapaRiesgos Gest Finan-Tesorerí" sheetId="13" r:id="rId11"/>
    <sheet name="MapaRiesgos Gest Informática" sheetId="8" r:id="rId12"/>
    <sheet name="MapaRiesgos Gest Recursos Físic" sheetId="9" r:id="rId13"/>
    <sheet name="MapaRiesgos Gest Des Talento H" sheetId="10" r:id="rId14"/>
    <sheet name="MapaRiesgo Gest Cont Discip Int" sheetId="12" r:id="rId15"/>
    <sheet name="MapaRiesgos Gest Mejoram Contin" sheetId="16" r:id="rId16"/>
    <sheet name="Hoja2" sheetId="31" r:id="rId17"/>
    <sheet name="Hoja1" sheetId="25"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s>
  <calcPr calcId="152511"/>
</workbook>
</file>

<file path=xl/calcChain.xml><?xml version="1.0" encoding="utf-8"?>
<calcChain xmlns="http://schemas.openxmlformats.org/spreadsheetml/2006/main">
  <c r="F12" i="9" l="1"/>
  <c r="F12" i="8"/>
  <c r="F12" i="13"/>
  <c r="A17" i="18" l="1"/>
  <c r="BP17" i="17" l="1"/>
  <c r="BO17" i="17"/>
  <c r="BL17" i="17"/>
  <c r="BK17" i="17"/>
  <c r="BJ17" i="17"/>
  <c r="BI17" i="17"/>
  <c r="BH17" i="17"/>
  <c r="BE17" i="17"/>
  <c r="BD17" i="17"/>
  <c r="BC17" i="17"/>
  <c r="BB17" i="17"/>
  <c r="BA17" i="17"/>
  <c r="AW17" i="17"/>
  <c r="AV17" i="17"/>
  <c r="AU17" i="17"/>
  <c r="AT17" i="17"/>
  <c r="AS17" i="17"/>
  <c r="AP17" i="17"/>
  <c r="AO17" i="17"/>
  <c r="AN17" i="17"/>
  <c r="AM17" i="17"/>
  <c r="AL17" i="17"/>
  <c r="AJ17" i="17"/>
  <c r="AI17" i="17"/>
  <c r="AH17" i="17"/>
  <c r="AG17" i="17"/>
  <c r="AF17" i="17"/>
  <c r="AC17" i="17"/>
  <c r="AB17" i="17"/>
  <c r="AA17" i="17"/>
  <c r="Z17" i="17"/>
  <c r="Y17" i="17"/>
  <c r="F19" i="10" l="1"/>
  <c r="G19" i="10" s="1"/>
  <c r="D19" i="10"/>
  <c r="C19" i="10"/>
  <c r="E19" i="10" s="1"/>
  <c r="B19" i="10"/>
  <c r="A19" i="10"/>
  <c r="F17" i="10"/>
  <c r="G17" i="10" s="1"/>
  <c r="D17" i="10"/>
  <c r="C17" i="10"/>
  <c r="E17" i="10" s="1"/>
  <c r="B17" i="10"/>
  <c r="A17" i="10"/>
  <c r="H19" i="10" l="1"/>
  <c r="H17" i="10"/>
  <c r="I17" i="10" s="1"/>
  <c r="I19" i="10" l="1"/>
  <c r="Y19" i="10"/>
  <c r="AA19" i="10"/>
  <c r="Z19" i="10"/>
  <c r="F17" i="24" l="1"/>
  <c r="G17" i="24" s="1"/>
  <c r="D17" i="24"/>
  <c r="C17" i="24"/>
  <c r="E17" i="24" s="1"/>
  <c r="B17" i="24"/>
  <c r="A17" i="24"/>
  <c r="H17" i="24" l="1"/>
  <c r="I17" i="24" s="1"/>
  <c r="F18" i="5" l="1"/>
  <c r="G18" i="5" s="1"/>
  <c r="D18" i="5"/>
  <c r="C18" i="5"/>
  <c r="E18" i="5" s="1"/>
  <c r="B18" i="5"/>
  <c r="A18" i="5"/>
  <c r="F17" i="5"/>
  <c r="G17" i="5" s="1"/>
  <c r="D17" i="5"/>
  <c r="C17" i="5"/>
  <c r="E17" i="5" s="1"/>
  <c r="B17" i="5"/>
  <c r="A17" i="5"/>
  <c r="H17" i="5" l="1"/>
  <c r="I17" i="5" s="1"/>
  <c r="H18" i="5"/>
  <c r="I18" i="5" s="1"/>
  <c r="F17" i="15" l="1"/>
  <c r="G17" i="15" s="1"/>
  <c r="D17" i="15"/>
  <c r="C17" i="15"/>
  <c r="E17" i="15" s="1"/>
  <c r="B17" i="15"/>
  <c r="A17" i="15"/>
  <c r="H17" i="15" l="1"/>
  <c r="I17" i="15" s="1"/>
  <c r="F17" i="20" l="1"/>
  <c r="G17" i="20" s="1"/>
  <c r="D17" i="20"/>
  <c r="C17" i="20"/>
  <c r="E17" i="20" s="1"/>
  <c r="B17" i="20"/>
  <c r="A17" i="20"/>
  <c r="H17" i="20" l="1"/>
  <c r="I17" i="20" s="1"/>
  <c r="F19" i="12" l="1"/>
  <c r="G19" i="12" s="1"/>
  <c r="D19" i="12"/>
  <c r="C19" i="12"/>
  <c r="E19" i="12" s="1"/>
  <c r="B19" i="12"/>
  <c r="A19" i="12"/>
  <c r="H19" i="12" l="1"/>
  <c r="I19" i="12" s="1"/>
  <c r="F18" i="12" l="1"/>
  <c r="G18" i="12" s="1"/>
  <c r="D18" i="12"/>
  <c r="C18" i="12"/>
  <c r="E18" i="12" s="1"/>
  <c r="B18" i="12"/>
  <c r="A18" i="12"/>
  <c r="H18" i="12" l="1"/>
  <c r="I18" i="12" s="1"/>
  <c r="F12" i="20" l="1"/>
  <c r="F12" i="17" l="1"/>
  <c r="F12" i="30" l="1"/>
  <c r="F6" i="30"/>
  <c r="BR19" i="30" l="1"/>
  <c r="BQ19" i="30"/>
  <c r="BP19" i="30"/>
  <c r="BO19" i="30"/>
  <c r="BN19" i="30"/>
  <c r="BK19" i="30"/>
  <c r="BJ19" i="30"/>
  <c r="BI19" i="30"/>
  <c r="BH19" i="30"/>
  <c r="BG19" i="30"/>
  <c r="BD19" i="30"/>
  <c r="BC19" i="30"/>
  <c r="BB19" i="30"/>
  <c r="BA19" i="30"/>
  <c r="AZ19" i="30"/>
  <c r="AV19" i="30"/>
  <c r="AU19" i="30"/>
  <c r="AT19" i="30"/>
  <c r="AS19" i="30"/>
  <c r="AR19" i="30"/>
  <c r="AO19" i="30"/>
  <c r="AN19" i="30"/>
  <c r="AM19" i="30"/>
  <c r="AL19" i="30"/>
  <c r="AK19" i="30"/>
  <c r="AI19" i="30"/>
  <c r="AH19" i="30"/>
  <c r="AG19" i="30"/>
  <c r="AF19" i="30"/>
  <c r="AE19" i="30"/>
  <c r="AB19" i="30"/>
  <c r="AA19" i="30"/>
  <c r="Z19" i="30"/>
  <c r="Y19" i="30"/>
  <c r="X19" i="30"/>
  <c r="BR18" i="30"/>
  <c r="BQ18" i="30"/>
  <c r="BP18" i="30"/>
  <c r="BO18" i="30"/>
  <c r="BN18" i="30"/>
  <c r="BK18" i="30"/>
  <c r="BJ18" i="30"/>
  <c r="BI18" i="30"/>
  <c r="BH18" i="30"/>
  <c r="BG18" i="30"/>
  <c r="BD18" i="30"/>
  <c r="BC18" i="30"/>
  <c r="BB18" i="30"/>
  <c r="BA18" i="30"/>
  <c r="AZ18" i="30"/>
  <c r="AV18" i="30"/>
  <c r="AU18" i="30"/>
  <c r="AT18" i="30"/>
  <c r="AS18" i="30"/>
  <c r="AR18" i="30"/>
  <c r="AO18" i="30"/>
  <c r="AN18" i="30"/>
  <c r="AM18" i="30"/>
  <c r="AL18" i="30"/>
  <c r="AK18" i="30"/>
  <c r="AI18" i="30"/>
  <c r="AH18" i="30"/>
  <c r="AG18" i="30"/>
  <c r="AF18" i="30"/>
  <c r="AE18" i="30"/>
  <c r="AB18" i="30"/>
  <c r="AA18" i="30"/>
  <c r="Z18" i="30"/>
  <c r="Y18" i="30"/>
  <c r="X18" i="30"/>
  <c r="BR17" i="30"/>
  <c r="BQ17" i="30"/>
  <c r="BP17" i="30"/>
  <c r="BO17" i="30"/>
  <c r="BN17" i="30"/>
  <c r="BK17" i="30"/>
  <c r="BJ17" i="30"/>
  <c r="BI17" i="30"/>
  <c r="BH17" i="30"/>
  <c r="BG17" i="30"/>
  <c r="BD17" i="30"/>
  <c r="BC17" i="30"/>
  <c r="BB17" i="30"/>
  <c r="BA17" i="30"/>
  <c r="AZ17" i="30"/>
  <c r="AV17" i="30"/>
  <c r="AU17" i="30"/>
  <c r="AT17" i="30"/>
  <c r="AS17" i="30"/>
  <c r="AR17" i="30"/>
  <c r="AO17" i="30"/>
  <c r="AN17" i="30"/>
  <c r="AM17" i="30"/>
  <c r="AL17" i="30"/>
  <c r="AK17" i="30"/>
  <c r="AI17" i="30"/>
  <c r="AH17" i="30"/>
  <c r="AG17" i="30"/>
  <c r="AF17" i="30"/>
  <c r="AE17" i="30"/>
  <c r="AB17" i="30"/>
  <c r="AA17" i="30"/>
  <c r="Z17" i="30"/>
  <c r="Y17" i="30"/>
  <c r="X17" i="30"/>
  <c r="F8" i="30"/>
  <c r="F12" i="15" l="1"/>
  <c r="F8" i="16" l="1"/>
  <c r="F6" i="16"/>
  <c r="F8" i="12"/>
  <c r="F6" i="12"/>
  <c r="BS19" i="10"/>
  <c r="BR19" i="10"/>
  <c r="BQ19" i="10"/>
  <c r="BP19" i="10"/>
  <c r="BO19" i="10"/>
  <c r="BL19" i="10"/>
  <c r="BK19" i="10"/>
  <c r="BJ19" i="10"/>
  <c r="BI19" i="10"/>
  <c r="BH19" i="10"/>
  <c r="BE19" i="10"/>
  <c r="BD19" i="10"/>
  <c r="BC19" i="10"/>
  <c r="BB19" i="10"/>
  <c r="BA19" i="10"/>
  <c r="AW19" i="10"/>
  <c r="AV19" i="10"/>
  <c r="AU19" i="10"/>
  <c r="AT19" i="10"/>
  <c r="AS19" i="10"/>
  <c r="AP19" i="10"/>
  <c r="AO19" i="10"/>
  <c r="AN19" i="10"/>
  <c r="AM19" i="10"/>
  <c r="AL19" i="10"/>
  <c r="AJ19" i="10"/>
  <c r="AI19" i="10"/>
  <c r="AH19" i="10"/>
  <c r="AG19" i="10"/>
  <c r="AF19" i="10"/>
  <c r="AC19" i="10"/>
  <c r="AB19" i="10"/>
  <c r="BS17" i="10"/>
  <c r="BR17" i="10"/>
  <c r="BQ17" i="10"/>
  <c r="BP17" i="10"/>
  <c r="BO17" i="10"/>
  <c r="BL17" i="10"/>
  <c r="BK17" i="10"/>
  <c r="BJ17" i="10"/>
  <c r="BI17" i="10"/>
  <c r="BH17" i="10"/>
  <c r="BE17" i="10"/>
  <c r="BD17" i="10"/>
  <c r="BC17" i="10"/>
  <c r="BB17" i="10"/>
  <c r="BA17" i="10"/>
  <c r="AW17" i="10"/>
  <c r="AV17" i="10"/>
  <c r="AU17" i="10"/>
  <c r="AT17" i="10"/>
  <c r="AS17" i="10"/>
  <c r="AP17" i="10"/>
  <c r="AO17" i="10"/>
  <c r="AN17" i="10"/>
  <c r="AM17" i="10"/>
  <c r="AL17" i="10"/>
  <c r="AJ17" i="10"/>
  <c r="AI17" i="10"/>
  <c r="AH17" i="10"/>
  <c r="F8" i="10"/>
  <c r="F6" i="10"/>
  <c r="F8" i="9"/>
  <c r="F8" i="8"/>
  <c r="F6" i="8"/>
  <c r="BQ17" i="13"/>
  <c r="F8" i="13"/>
  <c r="F6" i="13"/>
  <c r="BR17" i="15"/>
  <c r="BQ17" i="15"/>
  <c r="BP17" i="15"/>
  <c r="BO17" i="15"/>
  <c r="BN17" i="15"/>
  <c r="BK17" i="15"/>
  <c r="BJ17" i="15"/>
  <c r="BI17" i="15"/>
  <c r="BH17" i="15"/>
  <c r="BG17" i="15"/>
  <c r="BD17" i="15"/>
  <c r="BC17" i="15"/>
  <c r="BB17" i="15"/>
  <c r="BA17" i="15"/>
  <c r="AZ17" i="15"/>
  <c r="AV17" i="15"/>
  <c r="AU17" i="15"/>
  <c r="AT17" i="15"/>
  <c r="AS17" i="15"/>
  <c r="AR17" i="15"/>
  <c r="AO17" i="15"/>
  <c r="AN17" i="15"/>
  <c r="AM17" i="15"/>
  <c r="AL17" i="15"/>
  <c r="AK17" i="15"/>
  <c r="AI17" i="15"/>
  <c r="AH17" i="15"/>
  <c r="AG17" i="15"/>
  <c r="AF17" i="15"/>
  <c r="AE17" i="15"/>
  <c r="AB17" i="15"/>
  <c r="AA17" i="15"/>
  <c r="Z17" i="15"/>
  <c r="Y17" i="15"/>
  <c r="X17" i="15"/>
  <c r="F8" i="15"/>
  <c r="F6" i="15"/>
  <c r="F8" i="5"/>
  <c r="F6" i="5"/>
  <c r="F8" i="7"/>
  <c r="F6" i="7"/>
  <c r="BS17" i="24"/>
  <c r="BR17" i="24"/>
  <c r="BQ17" i="24"/>
  <c r="BP17" i="24"/>
  <c r="BO17" i="24"/>
  <c r="BL17" i="24"/>
  <c r="BK17" i="24"/>
  <c r="BJ17" i="24"/>
  <c r="BI17" i="24"/>
  <c r="BH17" i="24"/>
  <c r="BE17" i="24"/>
  <c r="BD17" i="24"/>
  <c r="BC17" i="24"/>
  <c r="BB17" i="24"/>
  <c r="BA17" i="24"/>
  <c r="AW17" i="24"/>
  <c r="AV17" i="24"/>
  <c r="AU17" i="24"/>
  <c r="AT17" i="24"/>
  <c r="AS17" i="24"/>
  <c r="AP17" i="24"/>
  <c r="AO17" i="24"/>
  <c r="AN17" i="24"/>
  <c r="AM17" i="24"/>
  <c r="AL17" i="24"/>
  <c r="AJ17" i="24"/>
  <c r="AI17" i="24"/>
  <c r="AH17" i="24"/>
  <c r="AG17" i="24"/>
  <c r="AF17" i="24"/>
  <c r="AC17" i="24"/>
  <c r="AB17" i="24"/>
  <c r="AA17" i="24"/>
  <c r="Z17" i="24"/>
  <c r="Y17" i="24"/>
  <c r="F8" i="24"/>
  <c r="F6" i="24"/>
  <c r="F8" i="18"/>
  <c r="F6" i="18"/>
  <c r="F8" i="17"/>
  <c r="F6" i="17"/>
  <c r="F8" i="20"/>
  <c r="F6" i="20"/>
  <c r="B17" i="21"/>
  <c r="A17" i="21"/>
  <c r="F8" i="21"/>
  <c r="F6" i="21"/>
  <c r="BP17" i="21" l="1"/>
  <c r="BP17" i="8"/>
  <c r="BP17" i="20"/>
  <c r="BQ19" i="12"/>
  <c r="BR18" i="13"/>
  <c r="BS17" i="21"/>
  <c r="BS18" i="17"/>
  <c r="BR17" i="13"/>
  <c r="BQ18" i="13"/>
  <c r="BO17" i="9"/>
  <c r="BR17" i="12"/>
  <c r="BQ18" i="12"/>
  <c r="BR19" i="12"/>
  <c r="AA17" i="12"/>
  <c r="AL17" i="12"/>
  <c r="AV17" i="12"/>
  <c r="BI17" i="12"/>
  <c r="AA19" i="12"/>
  <c r="AL19" i="12"/>
  <c r="AV19" i="12"/>
  <c r="BI19" i="12"/>
  <c r="BQ17" i="12"/>
  <c r="AG17" i="12"/>
  <c r="AR17" i="12"/>
  <c r="BC17" i="12"/>
  <c r="BO17" i="12"/>
  <c r="AG19" i="12"/>
  <c r="AR19" i="12"/>
  <c r="BC19" i="12"/>
  <c r="BO19" i="12"/>
  <c r="AB17" i="21"/>
  <c r="AH17" i="21"/>
  <c r="AM17" i="21"/>
  <c r="AS17" i="21"/>
  <c r="AW17" i="21"/>
  <c r="BD17" i="21"/>
  <c r="BH17" i="21"/>
  <c r="BL17" i="21"/>
  <c r="BR17" i="21"/>
  <c r="AA17" i="20"/>
  <c r="AG17" i="20"/>
  <c r="AL17" i="20"/>
  <c r="AR17" i="20"/>
  <c r="AT17" i="20"/>
  <c r="BJ17" i="20"/>
  <c r="Y17" i="21"/>
  <c r="AA17" i="21"/>
  <c r="AC17" i="21"/>
  <c r="AG17" i="21"/>
  <c r="AI17" i="21"/>
  <c r="AL17" i="21"/>
  <c r="AN17" i="21"/>
  <c r="AP17" i="21"/>
  <c r="AT17" i="21"/>
  <c r="AV17" i="21"/>
  <c r="BA17" i="21"/>
  <c r="BC17" i="21"/>
  <c r="BE17" i="21"/>
  <c r="BI17" i="21"/>
  <c r="BK17" i="21"/>
  <c r="BO17" i="21"/>
  <c r="BQ17" i="21"/>
  <c r="BQ17" i="20"/>
  <c r="BO17" i="20"/>
  <c r="BK17" i="20"/>
  <c r="BI17" i="20"/>
  <c r="BG17" i="20"/>
  <c r="BC17" i="20"/>
  <c r="BA17" i="20"/>
  <c r="AV17" i="20"/>
  <c r="X17" i="20"/>
  <c r="Z17" i="20"/>
  <c r="AB17" i="20"/>
  <c r="AF17" i="20"/>
  <c r="AH17" i="20"/>
  <c r="AK17" i="20"/>
  <c r="AM17" i="20"/>
  <c r="AO17" i="20"/>
  <c r="AS17" i="20"/>
  <c r="AU17" i="20"/>
  <c r="BB17" i="20"/>
  <c r="BH17" i="20"/>
  <c r="BN17" i="20"/>
  <c r="BR17" i="20"/>
  <c r="BS17" i="17"/>
  <c r="BQ17" i="17"/>
  <c r="BR17" i="17"/>
  <c r="Z17" i="21"/>
  <c r="AF17" i="21"/>
  <c r="AJ17" i="21"/>
  <c r="AO17" i="21"/>
  <c r="AU17" i="21"/>
  <c r="BB17" i="21"/>
  <c r="BJ17" i="21"/>
  <c r="Y17" i="20"/>
  <c r="AE17" i="20"/>
  <c r="AI17" i="20"/>
  <c r="AN17" i="20"/>
  <c r="AZ17" i="20"/>
  <c r="BD17" i="20"/>
  <c r="Z18" i="17"/>
  <c r="AB18" i="17"/>
  <c r="AF18" i="17"/>
  <c r="AH18" i="17"/>
  <c r="AJ18" i="17"/>
  <c r="AM18" i="17"/>
  <c r="AO18" i="17"/>
  <c r="AS18" i="17"/>
  <c r="AU18" i="17"/>
  <c r="AW18" i="17"/>
  <c r="BB18" i="17"/>
  <c r="BD18" i="17"/>
  <c r="BH18" i="17"/>
  <c r="BJ18" i="17"/>
  <c r="BL18" i="17"/>
  <c r="BP18" i="17"/>
  <c r="BR18" i="17"/>
  <c r="Y18" i="17"/>
  <c r="AA18" i="17"/>
  <c r="AC18" i="17"/>
  <c r="AG18" i="17"/>
  <c r="AI18" i="17"/>
  <c r="AL18" i="17"/>
  <c r="AN18" i="17"/>
  <c r="AP18" i="17"/>
  <c r="AT18" i="17"/>
  <c r="AV18" i="17"/>
  <c r="BA18" i="17"/>
  <c r="BC18" i="17"/>
  <c r="BE18" i="17"/>
  <c r="BI18" i="17"/>
  <c r="BK18" i="17"/>
  <c r="BO18" i="17"/>
  <c r="BQ18" i="17"/>
  <c r="X17" i="13"/>
  <c r="Z17" i="13"/>
  <c r="AB17" i="13"/>
  <c r="AF17" i="13"/>
  <c r="AH17" i="13"/>
  <c r="AK17" i="13"/>
  <c r="AM17" i="13"/>
  <c r="AO17" i="13"/>
  <c r="AS17" i="13"/>
  <c r="AU17" i="13"/>
  <c r="AZ17" i="13"/>
  <c r="BB17" i="13"/>
  <c r="BD17" i="13"/>
  <c r="BH17" i="13"/>
  <c r="BJ17" i="13"/>
  <c r="BN17" i="13"/>
  <c r="BP17" i="13"/>
  <c r="AB18" i="13"/>
  <c r="AF18" i="13"/>
  <c r="AH18" i="13"/>
  <c r="AK18" i="13"/>
  <c r="AM18" i="13"/>
  <c r="AO18" i="13"/>
  <c r="AS18" i="13"/>
  <c r="AU18" i="13"/>
  <c r="AZ18" i="13"/>
  <c r="BB18" i="13"/>
  <c r="BD18" i="13"/>
  <c r="BH18" i="13"/>
  <c r="BJ18" i="13"/>
  <c r="BN18" i="13"/>
  <c r="BP18" i="13"/>
  <c r="Y17" i="13"/>
  <c r="AA17" i="13"/>
  <c r="AE17" i="13"/>
  <c r="AG17" i="13"/>
  <c r="AI17" i="13"/>
  <c r="AL17" i="13"/>
  <c r="AN17" i="13"/>
  <c r="AR17" i="13"/>
  <c r="AT17" i="13"/>
  <c r="AV17" i="13"/>
  <c r="BA17" i="13"/>
  <c r="BC17" i="13"/>
  <c r="BG17" i="13"/>
  <c r="BI17" i="13"/>
  <c r="BK17" i="13"/>
  <c r="BO17" i="13"/>
  <c r="AA18" i="13"/>
  <c r="AE18" i="13"/>
  <c r="AG18" i="13"/>
  <c r="AI18" i="13"/>
  <c r="AL18" i="13"/>
  <c r="AN18" i="13"/>
  <c r="AR18" i="13"/>
  <c r="AT18" i="13"/>
  <c r="AV18" i="13"/>
  <c r="BA18" i="13"/>
  <c r="BC18" i="13"/>
  <c r="BG18" i="13"/>
  <c r="BI18" i="13"/>
  <c r="BK18" i="13"/>
  <c r="BO18" i="13"/>
  <c r="W17" i="8"/>
  <c r="Y17" i="8"/>
  <c r="AA17" i="8"/>
  <c r="AE17" i="8"/>
  <c r="AG17" i="8"/>
  <c r="AJ17" i="8"/>
  <c r="AL17" i="8"/>
  <c r="AN17" i="8"/>
  <c r="AR17" i="8"/>
  <c r="AT17" i="8"/>
  <c r="AY17" i="8"/>
  <c r="BA17" i="8"/>
  <c r="BC17" i="8"/>
  <c r="BG17" i="8"/>
  <c r="BI17" i="8"/>
  <c r="BM17" i="8"/>
  <c r="BO17" i="8"/>
  <c r="BQ17" i="8"/>
  <c r="Y17" i="9"/>
  <c r="AA17" i="9"/>
  <c r="AE17" i="9"/>
  <c r="AG17" i="9"/>
  <c r="AI17" i="9"/>
  <c r="AL17" i="9"/>
  <c r="AN17" i="9"/>
  <c r="AR17" i="9"/>
  <c r="AV17" i="9"/>
  <c r="BC17" i="9"/>
  <c r="BI17" i="9"/>
  <c r="Y17" i="12"/>
  <c r="AE17" i="12"/>
  <c r="AI17" i="12"/>
  <c r="AN17" i="12"/>
  <c r="AT17" i="12"/>
  <c r="BA17" i="12"/>
  <c r="BG17" i="12"/>
  <c r="BK17" i="12"/>
  <c r="BR18" i="12"/>
  <c r="AA18" i="12"/>
  <c r="AG18" i="12"/>
  <c r="AL18" i="12"/>
  <c r="AR18" i="12"/>
  <c r="AV18" i="12"/>
  <c r="BC18" i="12"/>
  <c r="BI18" i="12"/>
  <c r="BO18" i="12"/>
  <c r="Y19" i="12"/>
  <c r="AE19" i="12"/>
  <c r="AI19" i="12"/>
  <c r="AN19" i="12"/>
  <c r="AT19" i="12"/>
  <c r="BA19" i="12"/>
  <c r="BG19" i="12"/>
  <c r="BK19" i="12"/>
  <c r="X17" i="8"/>
  <c r="Z17" i="8"/>
  <c r="AD17" i="8"/>
  <c r="AF17" i="8"/>
  <c r="AH17" i="8"/>
  <c r="AK17" i="8"/>
  <c r="AM17" i="8"/>
  <c r="AQ17" i="8"/>
  <c r="AS17" i="8"/>
  <c r="AU17" i="8"/>
  <c r="AZ17" i="8"/>
  <c r="BB17" i="8"/>
  <c r="BF17" i="8"/>
  <c r="BH17" i="8"/>
  <c r="BJ17" i="8"/>
  <c r="BN17" i="8"/>
  <c r="BR17" i="9"/>
  <c r="BP17" i="9"/>
  <c r="BN17" i="9"/>
  <c r="BJ17" i="9"/>
  <c r="BH17" i="9"/>
  <c r="BD17" i="9"/>
  <c r="BB17" i="9"/>
  <c r="AZ17" i="9"/>
  <c r="AU17" i="9"/>
  <c r="AS17" i="9"/>
  <c r="X17" i="9"/>
  <c r="Z17" i="9"/>
  <c r="AB17" i="9"/>
  <c r="AF17" i="9"/>
  <c r="AH17" i="9"/>
  <c r="AK17" i="9"/>
  <c r="AM17" i="9"/>
  <c r="AO17" i="9"/>
  <c r="AT17" i="9"/>
  <c r="BA17" i="9"/>
  <c r="BG17" i="9"/>
  <c r="BK17" i="9"/>
  <c r="BQ17" i="9"/>
  <c r="Y18" i="12"/>
  <c r="AE18" i="12"/>
  <c r="AI18" i="12"/>
  <c r="AN18" i="12"/>
  <c r="AT18" i="12"/>
  <c r="BA18" i="12"/>
  <c r="BG18" i="12"/>
  <c r="BK18" i="12"/>
  <c r="X17" i="12"/>
  <c r="Z17" i="12"/>
  <c r="AB17" i="12"/>
  <c r="AF17" i="12"/>
  <c r="AH17" i="12"/>
  <c r="AK17" i="12"/>
  <c r="AM17" i="12"/>
  <c r="AO17" i="12"/>
  <c r="AS17" i="12"/>
  <c r="AU17" i="12"/>
  <c r="AZ17" i="12"/>
  <c r="BB17" i="12"/>
  <c r="BD17" i="12"/>
  <c r="BH17" i="12"/>
  <c r="BJ17" i="12"/>
  <c r="BN17" i="12"/>
  <c r="BP17" i="12"/>
  <c r="X18" i="12"/>
  <c r="Z18" i="12"/>
  <c r="AB18" i="12"/>
  <c r="AF18" i="12"/>
  <c r="AH18" i="12"/>
  <c r="AK18" i="12"/>
  <c r="AM18" i="12"/>
  <c r="AO18" i="12"/>
  <c r="AS18" i="12"/>
  <c r="AU18" i="12"/>
  <c r="AZ18" i="12"/>
  <c r="BB18" i="12"/>
  <c r="BD18" i="12"/>
  <c r="BH18" i="12"/>
  <c r="BJ18" i="12"/>
  <c r="BN18" i="12"/>
  <c r="BP18" i="12"/>
  <c r="X19" i="12"/>
  <c r="Z19" i="12"/>
  <c r="AB19" i="12"/>
  <c r="AF19" i="12"/>
  <c r="AH19" i="12"/>
  <c r="AK19" i="12"/>
  <c r="AM19" i="12"/>
  <c r="AO19" i="12"/>
  <c r="AS19" i="12"/>
  <c r="AU19" i="12"/>
  <c r="AZ19" i="12"/>
  <c r="BB19" i="12"/>
  <c r="BD19" i="12"/>
  <c r="BH19" i="12"/>
  <c r="BJ19" i="12"/>
  <c r="BN19" i="12"/>
  <c r="BP19" i="12"/>
  <c r="N17" i="12" l="1"/>
  <c r="J17" i="12"/>
  <c r="J18" i="12"/>
  <c r="N18" i="12"/>
  <c r="J17" i="21"/>
</calcChain>
</file>

<file path=xl/sharedStrings.xml><?xml version="1.0" encoding="utf-8"?>
<sst xmlns="http://schemas.openxmlformats.org/spreadsheetml/2006/main" count="1511" uniqueCount="279">
  <si>
    <t>MAPA DE RIESGOS</t>
  </si>
  <si>
    <t>Codigo:E-PI-F006</t>
  </si>
  <si>
    <t>Pagina: 1 de 1</t>
  </si>
  <si>
    <t>PROCESO:</t>
  </si>
  <si>
    <t xml:space="preserve">OBJETIVO </t>
  </si>
  <si>
    <t>RESPONSABLE</t>
  </si>
  <si>
    <t>FECHA DE ACTUALIZACIÒN:</t>
  </si>
  <si>
    <t>Prob</t>
  </si>
  <si>
    <t>Imp</t>
  </si>
  <si>
    <t>probabilidad</t>
  </si>
  <si>
    <t>IMPACTO</t>
  </si>
  <si>
    <t>IDENTIFICACIÓN DEL RIESGO</t>
  </si>
  <si>
    <t>ANÁLISIS DEL RIESGO</t>
  </si>
  <si>
    <t xml:space="preserve">CONTROLES </t>
  </si>
  <si>
    <t>VALORACIÓN DEL RIESGO</t>
  </si>
  <si>
    <t>TRATAMIENTO</t>
  </si>
  <si>
    <t>MONITOREO Y REVISIÓN</t>
  </si>
  <si>
    <t>CAUSA</t>
  </si>
  <si>
    <t>RIESGO</t>
  </si>
  <si>
    <t>CONSECUENCIA</t>
  </si>
  <si>
    <t>RIESGO INHERENTE</t>
  </si>
  <si>
    <t>RIESGO RESIDUAL</t>
  </si>
  <si>
    <t>ACCIONES ASOCIADAS AL CONTROL</t>
  </si>
  <si>
    <t>FECHA</t>
  </si>
  <si>
    <t>ACCIONES</t>
  </si>
  <si>
    <t>INDICADOR</t>
  </si>
  <si>
    <t>PROBABILIDAD</t>
  </si>
  <si>
    <t>ZONA DE RIESGO</t>
  </si>
  <si>
    <t>PERIODO DE EJECUCIÓN</t>
  </si>
  <si>
    <t>REGISTRO</t>
  </si>
  <si>
    <t>Mensual</t>
  </si>
  <si>
    <t>&gt;75</t>
  </si>
  <si>
    <t>&gt;50 &lt;76</t>
  </si>
  <si>
    <t>&lt;50</t>
  </si>
  <si>
    <t>* FUENTE: GUIA DE PARA LA ADMINISTRACION DEL RIESGO DEL DAFP 4 EDICION SEPTIEMBRE DE 2011</t>
  </si>
  <si>
    <t>MODERADO (5)</t>
  </si>
  <si>
    <t>MAYOR (10)</t>
  </si>
  <si>
    <t>CATASTRÓFICO (20)</t>
  </si>
  <si>
    <t>* FUENTE GUÍA PARA LA GESTIÓN DEL RIESGO DE CORRUPCIÓN 2015 Secretaría de Transparencia de la Presidencia de la República</t>
  </si>
  <si>
    <t xml:space="preserve"> RARA VEZ (1)</t>
  </si>
  <si>
    <t>B</t>
  </si>
  <si>
    <t>M</t>
  </si>
  <si>
    <t>IMPROBABLE (2)</t>
  </si>
  <si>
    <t>A</t>
  </si>
  <si>
    <t>POSIBLE (3)</t>
  </si>
  <si>
    <t>E</t>
  </si>
  <si>
    <t>PROBABLE (4)</t>
  </si>
  <si>
    <t>CASI SEGURO (5)</t>
  </si>
  <si>
    <t>B: Zona de riesgo baja: Asumir el riesgo</t>
  </si>
  <si>
    <t>M: Zona de riesgo moderada: Asumir el riesgo, reducir el riesgo</t>
  </si>
  <si>
    <t>A: Zona de riesgo Alta: Reducir el riesgo, evitar, compartir o transferir</t>
  </si>
  <si>
    <t>E: Zona de riesgo extrema: Reducir el riesgo, evitar, compartir o transferir</t>
  </si>
  <si>
    <t>sirem</t>
  </si>
  <si>
    <t>correos y orfeo solicitando las campañas y boletines
boletin anticorrupcion</t>
  </si>
  <si>
    <t>siif nacion II
cuadro en excel de amortizacion de anticipos</t>
  </si>
  <si>
    <t>Jefe Oficina Asesora Jurídica</t>
  </si>
  <si>
    <t xml:space="preserve"> Jefe de Oficina de Informática</t>
  </si>
  <si>
    <t>TRIMESTRAL</t>
  </si>
  <si>
    <t>Coordinadora Grupo de Administración y Desarrollo del Talento Humano.</t>
  </si>
  <si>
    <t>Coordinadora Grupo Control Disciplinario Interno</t>
  </si>
  <si>
    <t>Coordinador Grupo de Atención al ciudadano</t>
  </si>
  <si>
    <t>Informacion  aplicativo SIIF Nacion 
Informacion  Presupuestal actualizada bases de datos .</t>
  </si>
  <si>
    <t xml:space="preserve">Mensual </t>
  </si>
  <si>
    <t xml:space="preserve">Informes de Ejecucion  presupuestal. </t>
  </si>
  <si>
    <t>Jefe Oficina de Control Interno</t>
  </si>
  <si>
    <t>Subdirectores</t>
  </si>
  <si>
    <t>Aplicativo Orfeo
Formato PQRS
Procedimientos documentados
Resolución uso ORFEO
Resolcuión tiempos de respuesta</t>
  </si>
  <si>
    <t xml:space="preserve">Durante la vigencia </t>
  </si>
  <si>
    <t xml:space="preserve">Actualizar procedimientos.
Incluir procedimientos en el SGI. </t>
  </si>
  <si>
    <t>Procedimientos actualizados. 
Procedimientos cargados en el SGI.</t>
  </si>
  <si>
    <t>Durante la vigencia</t>
  </si>
  <si>
    <t>Jefe de la Oficina Asesora de Planeación</t>
  </si>
  <si>
    <t xml:space="preserve">Monitoreo de las redes sociales.
                                                                      Cambio periodico de claves.                                                          
Politica de Comunicaciones del IDEAM.
Monitoreo de medios de comunicación. </t>
  </si>
  <si>
    <t xml:space="preserve">Monitorear diariamente el Twitter y el Facebook de la Entidad, interactuando con los usuarios, con el fin de fortalecer los canales de comunicación directos. 
Seguimiento a los reportes oficiales de las noticias del IDEAM que fueron emitidas en todo el País, a través de diferentes canales de comunicación como radio, prensa, televisión, redes sociales y Web.
Cambio mensual de las claves de acceso a los diferentes canales de comunicación del Instituto. 
Gestionar y realizar capacitaciones de anticorrupción enfocadas en la etica y el debido direccionamiento de la informacion noticiosa y tecnicocientifica que emite el Instituto.  </t>
  </si>
  <si>
    <t>Gestión de Servicios Administrativos</t>
  </si>
  <si>
    <t>Coordinador del Grupo Servicios Administrativos</t>
  </si>
  <si>
    <t xml:space="preserve"> </t>
  </si>
  <si>
    <t>DESCRIPCION</t>
  </si>
  <si>
    <t>TIPO DE RIESGO</t>
  </si>
  <si>
    <t>TIPO DE CONTROL</t>
  </si>
  <si>
    <t>CONTROLES</t>
  </si>
  <si>
    <t>OPCIONES DE MANEJO</t>
  </si>
  <si>
    <t>TIPÒ DE CONTROL</t>
  </si>
  <si>
    <t>Posible</t>
  </si>
  <si>
    <t>Mayor</t>
  </si>
  <si>
    <t>REDUCIR</t>
  </si>
  <si>
    <t>Probable</t>
  </si>
  <si>
    <t>Moderado</t>
  </si>
  <si>
    <t>EVITAR</t>
  </si>
  <si>
    <t>RIESGO DE CORRUPCIÓN</t>
  </si>
  <si>
    <t>MENSUAL</t>
  </si>
  <si>
    <t>Rara Vez</t>
  </si>
  <si>
    <t>Catastrófico</t>
  </si>
  <si>
    <t>ASUMIR</t>
  </si>
  <si>
    <t>Capacitaciones, 
Seguimiento  tiempos de respuesta, monitoreo, evaluación  a los procedimientos y controles del grupo</t>
  </si>
  <si>
    <t>1. Lista de asistencia, fotografías, material utilizado. 
2. Correos electrónicos y Formato seguimiento presencial.
3. Actas reuniones grupo A.C.</t>
  </si>
  <si>
    <t>Improbable</t>
  </si>
  <si>
    <t>Asumir</t>
  </si>
  <si>
    <t>1. Validar la información de las solicitudes de Certificados de Disponibilidad Presupuestal y compromisos adquiridos por el IDEAM de carácter contractual con el Seguimiento Contractual, la ejecución presupuestal y soportes, previo a su generación en el aplicativo SIIF Nación.
2. Verificar que la información registrada en el aplicativo SIIF Nación que ampara la contratación del Instituto esté acorde con la documentación soporte allegada.</t>
  </si>
  <si>
    <t>Desconocer las características intrínsecas del bien y/o servicio que se desea contratar además de la falta de control asociado al proceso de contratación.</t>
  </si>
  <si>
    <t>Direccionar los procesos hacia
un grupo en particular</t>
  </si>
  <si>
    <t>Realizar actuaciones contrarias a la ley</t>
  </si>
  <si>
    <t>*Investigaciones disciplinarias *Investigaciones penales</t>
  </si>
  <si>
    <t>Contratación de personal idóneo y responsable para adelantar la contratación</t>
  </si>
  <si>
    <t>Reducir</t>
  </si>
  <si>
    <t>Solicitar al Grupo de Talento humano, Control Interno, Oficina Asesora de Planeación o Comunicaciones campañas o actividades de anticorrupción.</t>
  </si>
  <si>
    <t>Durante La Vigencia</t>
  </si>
  <si>
    <t>Comunicaciones escritas (sistema Orfeo y Zimbra)</t>
  </si>
  <si>
    <t>Presiones indebidas sobre funcionarios del Instituto por parte de firmas interesadas en los futuros procesos de contratación de la Entidad.
asignacion y entrega de dadivas y sobornos</t>
  </si>
  <si>
    <t>Beneficio a terceros para sumnistro de bienes y servicios del IDEAM</t>
  </si>
  <si>
    <t>Elaborar estudios previos para la contratación del suministro de materiales, equipos, elementos o servicios que requiera la Entidad,direccionado en beneficio de un tercero  en particular.</t>
  </si>
  <si>
    <t>*Mala percepcion del IDEAM ante la opinion publica.
*Acciones legales disciplinarias, penales y fiscales por parte de los entes de control</t>
  </si>
  <si>
    <t xml:space="preserve">Formatos y procedimientos establecidos por la oficina asesora jurídica
Lista de chequeo requisitos para radicación de estudios previos oficina asesora jurídica
</t>
  </si>
  <si>
    <t>Coordinar con La Oficina Asesora Jurídica la actualización en temas jurídicos y precontractuales</t>
  </si>
  <si>
    <t>Incosistencias en los documentos soportes (facturas y recibos) para legalizar pagos por caja menor</t>
  </si>
  <si>
    <t>manejo indebido de caja menor del IDEAM</t>
  </si>
  <si>
    <t>asignacion de dinero para compras de bienes y servicios para casos fortuitos y extraordinarios</t>
  </si>
  <si>
    <t>*Peculado y detrimento patrimonial 
*Acciones disciplinarias por parte de los entes de control</t>
  </si>
  <si>
    <t xml:space="preserve">Control de gastos en el aplicativo SIIF 
Control en la plataforma bancaria
</t>
  </si>
  <si>
    <t>Trimestral</t>
  </si>
  <si>
    <t>Realizar el arqueo de la caja menor periódicamente</t>
  </si>
  <si>
    <t xml:space="preserve">Elaboración de actas e informes del arqueo de la caja menor
Comunicaciones escritas (sistema Orfeo y Zimbra) 
Relación de extractos bancarios 
Reportes expedidos por la plataforma SIIF del Ministerio de Hacienda
</t>
  </si>
  <si>
    <t>Certificación fraudulenta de ingresos al instituto.</t>
  </si>
  <si>
    <t>Certificación fraudulenta de ingresos al instituto incumpliendo con las especificaciones por parte del proveedor.</t>
  </si>
  <si>
    <t>*Detrimento patrimonial.
*Sanciones disciplinarias por parte de los entes de control.</t>
  </si>
  <si>
    <t>*Formato constancia de verificación documental.
*Aplcativo Sicapital</t>
  </si>
  <si>
    <t>Revisión trimestral de los documentos soportes ingreso Almacén.</t>
  </si>
  <si>
    <t>*Formato constancia de verificación documental.
*Aplcativo Sicapital Diligenciado</t>
  </si>
  <si>
    <t>*Formato autorización de salida de elementos.
*Aplcativo Sicapital</t>
  </si>
  <si>
    <t>Revisión mensual del formato establecido a la empresa de vigilancia por parte del Grupo de Recursos Físicos sede Fontibón y Grupo de Inventarios y Almacén sede 42</t>
  </si>
  <si>
    <t>Documento Diligenciado</t>
  </si>
  <si>
    <t>Gestión del Proceso - Capacitaciones y Directrices Realizadas - Sanciones</t>
  </si>
  <si>
    <t>* Deficiencias en la revisión preliminar del trámite.
* Asignación de tareas jurídicas al equipo técnico.
* Ausencia de políticas sobre las que se tomen decisiones sobre el trámite</t>
  </si>
  <si>
    <t>Respuestas en contravención con normatividad vigente, el proceso o conceptos científicos</t>
  </si>
  <si>
    <t>Respuesta a usuarios, actos administrativos o acciones que se desvíen de lo dispuesto en la normatividad vigente, que no sean coherentes con los antecedentes del proceso o vayan en detrimento de los conceptos científicos vigentes.</t>
  </si>
  <si>
    <t>Recursos de reposición interpuestos ante los actos administrativos favorables para el usuario, acciones legales en contra del IDEAM, detrimento de la imagen del Instituto, decisiones no coherentes con el proceso o la legislación vigente.</t>
  </si>
  <si>
    <t xml:space="preserve">Autos de inicio de proceso, los informes técnicos y el seguimiento a las Pruebas de Evaluación de Desemepño, son controles para mantener los conceptos y actos administrativos coherentemente.
</t>
  </si>
  <si>
    <t>Año fiscal 2017</t>
  </si>
  <si>
    <t>Diseñar e implementar un informe técnico único y robusto, que sea acogido en  los actos administrativos,  y en el cual el concepto jurídico se limite a la procedencia y legalidad a otorgar.</t>
  </si>
  <si>
    <t xml:space="preserve">* Falta de estímulos profesionales y meritorios al interior del grupo de trabajo.
* Problemas económicos financieros de los miembros del grupo de acreditación.
* Deseo de éxito sobrepasando los límites profesionales y éticos. </t>
  </si>
  <si>
    <t>Decisiones ajustadas a intereses particulares</t>
  </si>
  <si>
    <t>Este riesgo hace referencia a aquellas decisiones que se tomen con fundamento en un interés particular.</t>
  </si>
  <si>
    <t xml:space="preserve">Acciones judiciales contra el instituto.
Detrimento de la imagen institucional.
Procesos disciplinarios, penales, administrativos y fiscales en contra de los servidores públicos del Instituto.
</t>
  </si>
  <si>
    <t xml:space="preserve">* Registro activo de conflico de intereses, más el registro de compromiso de confidencialidad, imparcialidad e independencia de todo el grupo.
* Confirmación de impedimentos previo a la visita in situ.
</t>
  </si>
  <si>
    <t>Implementación del Sistema de Gestión de Calidad basado en la norma ISO 17011, apra definir las políticas generales de decisiones y normalizar el hacer diario del equipo completo relacionado con el proceso</t>
  </si>
  <si>
    <t>Omisión, intereses mutuo o recibimiento de dádivas.</t>
  </si>
  <si>
    <t xml:space="preserve">Desviación de recursos girados en beneficio a terceros. </t>
  </si>
  <si>
    <t>Ordenar, efectuar o desviar pagos que por omisión o beneficios a terceros se presenten en la sede central y áreas operativas.</t>
  </si>
  <si>
    <t>Procesos disciplinarias, penales o fiscales. Detrimento patrimonial.</t>
  </si>
  <si>
    <t>1. PROCEDIMIENTOS:A-GF-I003 Instructivo Giro y Pago de Cheques, A-GF-P005 Procedimiento Gestión de Pagos.      2.FORMATOS: A-GF-F011 Formato de Novedades Cuentas Bancarias. 3.  SOFTWARE:  SIIF NACION II, ORFEO, GESTION SEGURIDAD ELECTRONICA (Token-firma digital) y CERTICAMARA (Token-firma digital).</t>
  </si>
  <si>
    <t>Ejecución mensual durante el año.</t>
  </si>
  <si>
    <t>1- Fortalecer los controles establecidos para la revisión de  los pagos, con el fin de  establecer obligaciones, según lo establecido en el  Procedimiento de Gestión de Pagos. 2. Solicitar a las áreas operativas el envío de los soportes de  los pagos que realicen con los recursos girados  desde la sede central.</t>
  </si>
  <si>
    <t>Desconocimiento de la normativa vigente.
Sobrecarga laboral.</t>
  </si>
  <si>
    <t>Inoportunidad en los pagos</t>
  </si>
  <si>
    <t>Demora en el trámite de las obligaciones que son allegadas a la dependencia para pago.</t>
  </si>
  <si>
    <t>Sanciones disciplinarias, fiscales y penales por incumplimiento de los pagos en los términos establecidos por parte del Instituto.</t>
  </si>
  <si>
    <t>1. PROCEDIMIENTOS:A-GF-I003 Instructivo Giro y Pago de Cheques, A-GF-P005 Procedimiento Gestión de Pagos.      2.FORMATOS:  A-GF-P011 Procedimiento Solicitud y Legalización Comisiones, . 3.  SOFTWARE:  SIIF NACION II, ORFEO</t>
  </si>
  <si>
    <t>1- Fortalecer los controles establecidos para la revisión de  los pagos, con el fin de  establecer obligaciones y fechas limite de pagos.</t>
  </si>
  <si>
    <t>Indicadores de gestión</t>
  </si>
  <si>
    <t xml:space="preserve">E-PI-P001 Procedimiento PAA
ORFEOS
Seguimiento a la ejecución PAA </t>
  </si>
  <si>
    <t>1. Seguimiento a la ejecución actividades PAA
2.Seguimiento indicadores PAA</t>
  </si>
  <si>
    <t>Seguimiento PAA
Seguimiento indicadores PAA</t>
  </si>
  <si>
    <t>Version:05</t>
  </si>
  <si>
    <t>Fecha: 02/05/2017</t>
  </si>
  <si>
    <t>V</t>
  </si>
  <si>
    <t xml:space="preserve">Coordinador del Grupo de Presupuesto </t>
  </si>
  <si>
    <t>Cumplimiento con el procedimiento de Vinculación y desvinculación del Personal 
- Validación de los requisitos para
vinculación de cargos en la Entidad.
-Verificación de los documentos soportes de la hoja de vida del aspirante al cargo</t>
  </si>
  <si>
    <t xml:space="preserve">Formato Análisis Hoja de Vida A-GH-F012 y verificar cumplimiento de requisitos del cargo.
</t>
  </si>
  <si>
    <t>COORDINADOR  GRUPO DE TESORERIA</t>
  </si>
  <si>
    <t>1- Se reflejaría el registro mediante: a- Cuadro en excel de los registro de proveedores y contratistas para control de pagos, impuestos y terceros en la sede central y áreas operativas.  2. Facturas y/o recibos de pago debidamente cancelados con sus debidos soportes.</t>
  </si>
  <si>
    <t xml:space="preserve"> 
Inventario físico y en el sistema Documental ORFEO de las historias laborales con sus respectivos soportes </t>
  </si>
  <si>
    <t xml:space="preserve"> 1. Documentación incompleta y mal diligenciamiento del formato de afiliación. 
2. Error humano
3. Reporte inoportuno de la novedad de traslado. </t>
  </si>
  <si>
    <t>Demoras en el trámite de afiliaciones y del reporte de la novedad de traslado al Sistema General de Seguridad Social y Riesgos profesionales.</t>
  </si>
  <si>
    <t xml:space="preserve">No afiliar oportunamente  a los trabajadores al Sistema General de Seguridad Social y Riesgos profesionales teniendo en cuenta la normatividad legal vigente. </t>
  </si>
  <si>
    <t xml:space="preserve">
1. Sanciones legales
2.Demandas
3. Multas
4. Detrimento patrimonial</t>
  </si>
  <si>
    <t xml:space="preserve">  
*Radicado del formulario de la afiliación con sello EPS y ARL.
*Registro de los datos de los nuevos funcionario al Sistema Perno.
*Archivar en las historias laborales de cada funcionario los  formatos de afiliación a EPS y ARL. 
*Con las solicitudes de traslado de Eps, una vez radicado el respectivo formulario un mes despues nos comunicamos con la Eps para verificar el estado de este o atravez de la plataforma BDUA.
*Creación de expediente  por funcionario.</t>
  </si>
  <si>
    <t xml:space="preserve">1. Fortalecer el control con la verificación y seguimiento del diligenciamiento de los formularios de afiliación, remitidos por cada uno de los funcionarios.
</t>
  </si>
  <si>
    <t>Formularios de afiliación al Sistema General de Seguridad Social y Riesgos profesionales.
Formulario radicado ante la EPS de la solicitud del traslado</t>
  </si>
  <si>
    <t>Fecha:02/05/2017</t>
  </si>
  <si>
    <t>*Deficiente definición de políticas de uso de las TI.
* No realizar actualzaciones a la política de seguridad y Privacidad de la información.
*Deficiencias en el desarrollo o adquisición de TI.
*Inadecuado acceso de los usuarios a las herramientas informáticas. 
*Falta de una infraestructura tecnológica adecuada</t>
  </si>
  <si>
    <t>Pérdida de integridad, disponibilidad y uso inadecuado o indebido de la información.</t>
  </si>
  <si>
    <t>Que la información no cumpla con los requisitos de calidad  y seguridad
*Que la politica de seguridad no esta alineada con las necesidades y los requisitos del Instituto en materia de seguridad de la información.</t>
  </si>
  <si>
    <t>*Falta de credibilidad y confianza en cuanto al apoyo del área. 
*Perdida de imagen y credibilidad del Instituto.
* Materializacion de riesgos asociados seguridad de la información</t>
  </si>
  <si>
    <t xml:space="preserve">* Auditoría a las políticas de seguridad y privacidad de la información
* Gestión de incidentes de seguridad.
</t>
  </si>
  <si>
    <t>*Realización de las auditorias planeadas en el año.
*Registrar e investigar los incidentes de seguridad reportados.
*Contar con un contrato de custodia de información con Entidad Externa
*Sensibilización a los servidores publicos del Instituto sobre seguridad  de la información.
* Realizar Tip´s de seguridad , para su difusión.</t>
  </si>
  <si>
    <t>Formato A-CID-F006 Seguimiento y Control a Oficios y/o Memorandos Memorando de declaratoria de impedimento (Orfeo); Auto o Resolución aceptando o negando el impedimento por parte de la Primera Instancia Disciplinaria ó del Director General, según el caso (Debe reposar en cada expediente donde obre impedimento).</t>
  </si>
  <si>
    <t xml:space="preserve">SISTEMA DE GESTIÓN DOCUMENTAL ORFEO, COPIA FISICA EN EL EXPEDIENTE DE LA SOLICITUD Y FORMATO A-CID-F007 Seguimiento a Autos Interlocutorios y/o de Sustanciación.   </t>
  </si>
  <si>
    <t>Subdirectora de Estudios Ambientales - Coordinador Acreditación de Laboratorio</t>
  </si>
  <si>
    <t>Manejo inadecuado de la información generada por la entidad para obtener beneficios.</t>
  </si>
  <si>
    <t>Perdida de Imagen, confianza y credibilidad Institucional.</t>
  </si>
  <si>
    <t>Documento análisis del monitoreo de medios.                       Documento estadistico de reporte de las redes  sociales.</t>
  </si>
  <si>
    <t>Evitar / Reducir</t>
  </si>
  <si>
    <t>Permanente</t>
  </si>
  <si>
    <t>Desconocimiento de las funciones y objetivos de la Oficina de Control Interno por parte de las demás dependencias.</t>
  </si>
  <si>
    <t>Falta de receptividad de las dependencias del Instituto frente a los informes y seguimientos con recomendaciones realizadas por la Oficina de Control Interno para la mejora contínua.</t>
  </si>
  <si>
    <t>Omisión en las áreas del Instituto de las observaciones de OCINT en los informes del proceso auditor.</t>
  </si>
  <si>
    <t>El mejoramiento contínuo en los procesos, se ve afectado contribuyendo a un nivel de susceptibilidad mayor de la corrupción.</t>
  </si>
  <si>
    <t>Realizar reuniones de apertura y cierre con el lider del proceso y auditados informando los aspectos más relevantes, generando recomendaciones. Procedimiento C-EM-P001 -Auditoria Interna -#6-Actividades 7 a 10.
Formulacion y revisión plan de mejoramiento. Procedimiento C-EM-P002 -Gestion de planes de mejoramiento.</t>
  </si>
  <si>
    <t>Actividades descritas en el procedimiento C-EM-P002 -Gestion de planes de mejoramiento -#6-Ejecución y Seguimiento del Plan de Mejoramiento -Actividades 4 a 9.
Realizar reuniones de acompañamiento/asesoría con los funcionarios de los diferentes procesos institucionales.</t>
  </si>
  <si>
    <t>Actas de reuniones con los funcionarios de los procesos institucionales.
Informes de seguimiento a los planes de mejoramiento suscritos con las dependencias.</t>
  </si>
  <si>
    <t>Inobservancia frente a los fundamentos éticos de un profesional/auditor.
Ausencia de controles efectivos.
Desconocimiento de las normas vigentes sobre la materia a evaluar.
Presiones indebidas/tráfico de influencias y favorabilidad.</t>
  </si>
  <si>
    <t>Generación de informes sin la debida idoneidad por parte de los auditores de la Oficina de Control Interno.</t>
  </si>
  <si>
    <t>Informes de auditorías sin soportes/evidencias claras, objetivas o pertinentes.</t>
  </si>
  <si>
    <t>Falta de credibilidad en la gestión de la Oficina de Control Interno, facilitando la ocurrencia de actos de corrupción.</t>
  </si>
  <si>
    <t>Revisión y elaboración del Informe de Auditoria por el Jefe de Oficina de Control Interno y/o Representante de la Alta Dirección. 
Procedimiento C-EM-P001 -Auditoria Interna -#6-Actividades 11 y 12.
Código de Ética de los servidores de la Oficina de Control Interno.</t>
  </si>
  <si>
    <t>Reuniones de retroalimentación/estudio con los servidores de la Oficina de Control Interno. 
Revisar en las reuniones de retroalimentación y de forma periódica, el cumplimiento de las disposiciones definidas en el Código de Ética de los servidores públicos de la Oficina de Control Interno.</t>
  </si>
  <si>
    <t>Actas de reuniones de retroalimentación/estudio.</t>
  </si>
  <si>
    <t>Seguimiento estudios previos</t>
  </si>
  <si>
    <t>Informe técnico</t>
  </si>
  <si>
    <t>Documentos del Sistema de Gestión</t>
  </si>
  <si>
    <t>Soportes de auditoría
Tip´s de seguridad</t>
  </si>
  <si>
    <t>RIESGO DE CORRUPCION</t>
  </si>
  <si>
    <t xml:space="preserve">Divulgacion de Informacion sin verificacion y validacion .Procesos Disciplinarios. Acciones legales contra el Instituto. Perdida de Credibilidad del Instituto </t>
  </si>
  <si>
    <t>Suministro por parte de los funcionarios no autorizados de información hidrometeorológica y ambiental por fuera de los canales establecidos para tal fin, para beneficio particular.</t>
  </si>
  <si>
    <t>Suministro información hidrometeorológica y ambiental para beneficio particular.</t>
  </si>
  <si>
    <t>Tiempo de resago de información en los procesos de verificación y validación.
Deficiencia en los procesos y procedimientos para la gestión de datos e información.</t>
  </si>
  <si>
    <t xml:space="preserve">Desarrollar las actividades establecidas en el procedimienro  para la administración de la nómina, desde que se realiza el reporte mensual de
novedades hasta que se entregan los listados finales de nómina a presupuesto, contabilidad y tesoreria
para el respectivo trámite de pago.
</t>
  </si>
  <si>
    <t xml:space="preserve"> 
1. Cargue de las novedades  y Validación de la información  suministrada por el sistema PERNO.
2. Tener registro de la base de datos excel de incapacidades, horas extras, compensatorias y vacaciones, PAC. Pre nominas, incapacidades, archivos planos.
3. Aplicar los procedimientos de Vacaciones,  Procedimiento de Horas extras y compensatorios, Procedimiento de incapacidades médicas con los formatos respectivos para el registro de las novedades.
4. Mantenimiento preventivo y ajustes al aplicativo PERNO. 
</t>
  </si>
  <si>
    <t>Resolución</t>
  </si>
  <si>
    <t xml:space="preserve">B    </t>
  </si>
  <si>
    <t xml:space="preserve">B                             </t>
  </si>
  <si>
    <t>COORDINADOR GRUPO DE CONTABILIDAD</t>
  </si>
  <si>
    <t xml:space="preserve">Cumplimiento con el procedimiento de Vinculación y desvinculación del Personal 
- Validación de los requisitos para
vinculación de cargos en la Entidad.
-Verificación de los documentos soportes de la hoja de vida del aspirante al cargo
3. Diligenciamiento y Revisión previa de la información que se suministra cada vez que se requiere a la Comisión Nacional del Servicio Civil.
</t>
  </si>
  <si>
    <t xml:space="preserve">Restricción del acceso del archivo de
historias laborales.
</t>
  </si>
  <si>
    <t xml:space="preserve">
1, Definir el personal competente e idoneo que tendrá acceso a las Historias Laborales así como su ingreso al área de Archivo de estas.
2. Controlar el préstamo de las historias laborales a través del formato de préstamos de expedientes código A-GH-F001.
</t>
  </si>
  <si>
    <t>Información inconsistente de los bienes de propiedad de la entidad a las auditorias externas e internas. 
Inventarios desactualizados de los funcionarios.</t>
  </si>
  <si>
    <t>Uso inadecuado de los bienes en custodia de bienes en bodega.</t>
  </si>
  <si>
    <t>Uso inadecuado de los bienes en custodia del almacen para el  beneficio a terceros.</t>
  </si>
  <si>
    <t>*Detrimento patrimonial.
*Sanciones disciplinarias por parte de los entes de control.
*Afectación de la imagen de la entidad.</t>
  </si>
  <si>
    <t xml:space="preserve">1. Ausencia y/o aplicación de controles en la cadena de custodia 
2. Falta de recursos   tecnológicos y humanos para el manejo de las historias laborales   
3.No digitalización de historias laborales                                                   
4. Manipulación inadecuada de los usuarios.
</t>
  </si>
  <si>
    <t>Manipulación e inadecuado manejo de información de las historias
laborales de los funcionarios para beneficio de
un tercero.</t>
  </si>
  <si>
    <t xml:space="preserve">Prestámo de las Historias Laborales,  Emisión de documentos irregulares,  con información incorrecta en beneficio de un tercero. </t>
  </si>
  <si>
    <t xml:space="preserve">
3. Sanciones disciplinarias
4. Perdida de la  información y falta de credibilidad en los procesos de la Entidad
</t>
  </si>
  <si>
    <t>CUARTO TRIMESTRE 2017</t>
  </si>
  <si>
    <t>Se aplicaron los Controles para evitar la materialización del riesgo.</t>
  </si>
  <si>
    <t>Formato A-CID-F006 Seguimiento y Control a Oficios y/o Memorandos - l Formato Código: A-CID-F005 seguimiento y control de expedientes</t>
  </si>
  <si>
    <t>Se hace el seguimiento a las tareas adelantadas de los abogados con que cuenta la OAJ, a traves de una Matriz en la cual se establece el reparto de las tareas asignadas, la cual periodicamente los profesionales deben rendir informe de su tarea,se anexa matriz</t>
  </si>
  <si>
    <t>Verificación y aprobación por parte del Profesional Especialziado y la Subdirectora,  antes de la emisión de las certificaciones, e informes a publicar</t>
  </si>
  <si>
    <t>Certificaciones emitidas formalmente</t>
  </si>
  <si>
    <t>Suministro de informacion Hidrometeorologica y ambiental para beneficio particular</t>
  </si>
  <si>
    <t>Se pueden generar actos de corrupcion en la elaboracion y tramites de productos e informes</t>
  </si>
  <si>
    <t>Riesgos legales, perdida de imagen Institucional</t>
  </si>
  <si>
    <t>Catastrofico</t>
  </si>
  <si>
    <t>Aplicación del procedimiento y verificacion de los puntos de control antes de la emision de los informes/Conceptos/Certificaciones a publicar.</t>
  </si>
  <si>
    <t>1. Resolución 2628 del 18 de noviembre de septiembre de 2016
2.Procedimiento de Atención al Ciudadano.
3. Formato Ordenado de registro PQRS
4. Formatos de Seguimiento PQRS.
5. Formato Reporte  PQRS  por dependencias.</t>
  </si>
  <si>
    <t>l</t>
  </si>
  <si>
    <t>Oficina Asesora de Planeación</t>
  </si>
  <si>
    <t>Seguimiento Plan Operativo Anual</t>
  </si>
  <si>
    <t xml:space="preserve">Profesionales de la Subdirección
Subdirectora
</t>
  </si>
  <si>
    <t>Coordinador Grupo Acreditación</t>
  </si>
  <si>
    <t>N. Recursos de reposición donde se acepte por lo menos un argumento presentado por el usuario</t>
  </si>
  <si>
    <t>% de implementación del sistema de gestión de calidad</t>
  </si>
  <si>
    <t>BIBIANA SANDOVAL 
Coordinadora Grupo de Atención al Ciudadano</t>
  </si>
  <si>
    <t>(Casos de corrupción de Atención al Ciudadano denunciados/Total de PQRS)*100
=0%</t>
  </si>
  <si>
    <t>OFICINA ASESORA JURIDICA</t>
  </si>
  <si>
    <t>Número de personal contratado/ Número de contraros revisados y suscritos</t>
  </si>
  <si>
    <t>Coordinadora Grupo de Contabilidad</t>
  </si>
  <si>
    <t>Tramitar cuentas sin los soportes legales</t>
  </si>
  <si>
    <t xml:space="preserve">GRUPO DE PRESUPUESTO </t>
  </si>
  <si>
    <t>Informes de Ejecucion Presupuestal mensual publicados en la pagina WEB.</t>
  </si>
  <si>
    <t>Grupo Tesoreria</t>
  </si>
  <si>
    <t>Total de ordenes de pago pagadas/Total de obligaciones del mes *100</t>
  </si>
  <si>
    <t>oficina de Informatica</t>
  </si>
  <si>
    <t>No. de políticas auditadas en la vigencia</t>
  </si>
  <si>
    <t>ASESOR JURIDICO GRUPO DE SERVICIOS ADMINISTRATIVOS</t>
  </si>
  <si>
    <t>PROFESIONAL GRUPO DE SERVICIOS ADMINISTRATIVOS, COORDINADOR GRUPO DE SERVICIOS ADMINISTRATIVOS</t>
  </si>
  <si>
    <t>EMPRESA DE VIGILANCIA, PROFESIONAL GRUPO DE SERVICIOS ADMINISTRATIVOS</t>
  </si>
  <si>
    <t>Profesional Universitario</t>
  </si>
  <si>
    <t xml:space="preserve">Resolución 2298 de 03 de octubre de 2017, Por el cual se adiciona una ficha al Manual Especifico de Funciones y Competencias Laborales para los empleos de la Planta Global de personal del IDEAM de naturaleza Carrera Administrativa.
Resolución 2423 de 13 octubre de 2017  Por el cual se adiciona una ficha al Manual Especifico de Funciones y Competencias Laborales para los empleos de la Planta Global de personal del IDEAM de naturaleza Carrera Administrativa.
Resolución 2425 de 13 octubre de 2017 Por el cual se adiciona una ficha al Manual Especifico de Funciones y Competencias Laborales para los empleos de la Planta Global de personal del IDEAM de naturaleza Carrera Administrativa.
Resolución 2712 de noviembre  2017 Por el cual se adiciona una ficha al Manual Especifico de Funciones y Competencias Laborales para los empleos de la Planta Global de personal del IDEAM de naturaleza Carrera Administrativa.
</t>
  </si>
  <si>
    <t>Secretario Ejecutivo</t>
  </si>
  <si>
    <t xml:space="preserve">Se evidencia el préstamo de las Historias Laborales mediante formato con código A-GH-F001.
</t>
  </si>
  <si>
    <t xml:space="preserve">
Tècnico Administrativo 16 
</t>
  </si>
  <si>
    <t xml:space="preserve">
Procedimientos establecidos en el SGI. 
Registro en el Sistema PERNO 
Mesas de ayuda para el ajuste al aplicativo PERNO.
Control y verificación mensual de las Novedades de Nómina 
</t>
  </si>
  <si>
    <t>Técnico Administrativo 14</t>
  </si>
  <si>
    <t xml:space="preserve">Verificación de Formularios de afiliación al Sistema General de Seguridad Social y Riesgos profesionales.
.
</t>
  </si>
  <si>
    <t>Coordinación del Grupo de Control Disciplinario Interno - oficina Asesora de Planeación</t>
  </si>
  <si>
    <t>Jefe de la Oficina de Control Interno y funcionarios del área.</t>
  </si>
  <si>
    <t>Grupo de Comunicaciones</t>
  </si>
  <si>
    <t>30-01-2018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</si>
</sst>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m/yyyy;@"/>
    <numFmt numFmtId="165" formatCode="[$-F800]dddd\,\ mmmm\ dd\,\ yyyy"/>
  </numFmts>
  <fonts count="27" x14ac:knownFonts="1">
    <font>
      <sz val="11"/>
      <color theme="1"/>
      <name val="Calibri"/>
      <family val="2"/>
      <scheme val="minor"/>
    </font>
    <font>
      <sz val="10"/>
      <name val="Arial"/>
      <family val="2"/>
    </font>
    <font>
      <sz val="11"/>
      <name val="Arial"/>
      <family val="2"/>
    </font>
    <font>
      <b/>
      <sz val="11"/>
      <name val="Arial"/>
      <family val="2"/>
    </font>
    <font>
      <sz val="10"/>
      <color theme="1"/>
      <name val="Arial"/>
      <family val="2"/>
    </font>
    <font>
      <sz val="11"/>
      <color theme="1"/>
      <name val="Arial"/>
      <family val="2"/>
    </font>
    <font>
      <sz val="10"/>
      <name val="Arial"/>
      <family val="2"/>
    </font>
    <font>
      <b/>
      <sz val="11"/>
      <color rgb="FF000000"/>
      <name val="Arial"/>
      <family val="2"/>
    </font>
    <font>
      <sz val="11"/>
      <color rgb="FF000000"/>
      <name val="Arial"/>
      <family val="2"/>
    </font>
    <font>
      <b/>
      <sz val="11"/>
      <color rgb="FF276F5E"/>
      <name val="Arial"/>
      <family val="2"/>
    </font>
    <font>
      <b/>
      <sz val="11"/>
      <color rgb="FFFFFF00"/>
      <name val="Arial"/>
      <family val="2"/>
    </font>
    <font>
      <b/>
      <sz val="11"/>
      <color theme="9" tint="-0.249977111117893"/>
      <name val="Arial"/>
      <family val="2"/>
    </font>
    <font>
      <b/>
      <sz val="11"/>
      <color rgb="FFFF3300"/>
      <name val="Arial"/>
      <family val="2"/>
    </font>
    <font>
      <sz val="48"/>
      <color rgb="FFFF0000"/>
      <name val="Arial"/>
      <family val="2"/>
    </font>
    <font>
      <sz val="10"/>
      <name val="Arial Narrow"/>
      <family val="2"/>
    </font>
    <font>
      <sz val="11"/>
      <color theme="1"/>
      <name val="Calibri"/>
      <family val="2"/>
      <scheme val="minor"/>
    </font>
    <font>
      <sz val="12"/>
      <name val="Arial Narrow"/>
      <family val="2"/>
    </font>
    <font>
      <sz val="10"/>
      <color theme="1"/>
      <name val="Arial Narrow"/>
      <family val="2"/>
    </font>
    <font>
      <sz val="9"/>
      <name val="Arial"/>
      <family val="2"/>
    </font>
    <font>
      <sz val="12"/>
      <color theme="1"/>
      <name val="Arial Narrow"/>
      <family val="2"/>
    </font>
    <font>
      <sz val="11"/>
      <name val="Calibri"/>
      <family val="2"/>
      <scheme val="minor"/>
    </font>
    <font>
      <sz val="11"/>
      <color rgb="FF92D050"/>
      <name val="Arial"/>
      <family val="2"/>
    </font>
    <font>
      <sz val="14"/>
      <name val="Arial Narrow"/>
      <family val="2"/>
    </font>
    <font>
      <sz val="11"/>
      <name val="Arial Narrow"/>
      <family val="2"/>
    </font>
    <font>
      <sz val="11"/>
      <color theme="1"/>
      <name val="Arial Narrow"/>
      <family val="2"/>
    </font>
    <font>
      <sz val="10"/>
      <name val="Arial"/>
      <family val="2"/>
    </font>
    <font>
      <sz val="10"/>
      <color indexed="8"/>
      <name val="Arial"/>
      <family val="2"/>
    </font>
  </fonts>
  <fills count="12">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rgb="FF276F5E"/>
        <bgColor indexed="64"/>
      </patternFill>
    </fill>
    <fill>
      <patternFill patternType="solid">
        <fgColor rgb="FFFFFF00"/>
        <bgColor indexed="64"/>
      </patternFill>
    </fill>
    <fill>
      <patternFill patternType="solid">
        <fgColor theme="9" tint="-0.249977111117893"/>
        <bgColor indexed="64"/>
      </patternFill>
    </fill>
    <fill>
      <patternFill patternType="solid">
        <fgColor rgb="FFFF0000"/>
        <bgColor indexed="64"/>
      </patternFill>
    </fill>
    <fill>
      <patternFill patternType="solid">
        <fgColor rgb="FF92D050"/>
        <bgColor indexed="64"/>
      </patternFill>
    </fill>
    <fill>
      <patternFill patternType="solid">
        <fgColor theme="6"/>
        <bgColor indexed="64"/>
      </patternFill>
    </fill>
    <fill>
      <patternFill patternType="solid">
        <fgColor rgb="FFFFC0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rgb="FF000000"/>
      </left>
      <right/>
      <top style="medium">
        <color rgb="FF000000"/>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bottom/>
      <diagonal/>
    </border>
    <border>
      <left style="thin">
        <color indexed="64"/>
      </left>
      <right style="thin">
        <color indexed="64"/>
      </right>
      <top style="thin">
        <color indexed="64"/>
      </top>
      <bottom style="medium">
        <color indexed="64"/>
      </bottom>
      <diagonal/>
    </border>
    <border>
      <left style="medium">
        <color rgb="FF000000"/>
      </left>
      <right/>
      <top/>
      <bottom/>
      <diagonal/>
    </border>
    <border>
      <left/>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style="medium">
        <color rgb="FF000000"/>
      </bottom>
      <diagonal/>
    </border>
    <border>
      <left style="medium">
        <color rgb="FF000000"/>
      </left>
      <right/>
      <top/>
      <bottom style="medium">
        <color rgb="FF000000"/>
      </bottom>
      <diagonal/>
    </border>
    <border>
      <left style="thin">
        <color indexed="64"/>
      </left>
      <right style="thin">
        <color indexed="64"/>
      </right>
      <top style="thick">
        <color indexed="64"/>
      </top>
      <bottom style="thick">
        <color indexed="64"/>
      </bottom>
      <diagonal/>
    </border>
  </borders>
  <cellStyleXfs count="9">
    <xf numFmtId="0" fontId="0" fillId="0" borderId="0"/>
    <xf numFmtId="0" fontId="1" fillId="0" borderId="0"/>
    <xf numFmtId="0" fontId="6" fillId="0" borderId="0"/>
    <xf numFmtId="0" fontId="15" fillId="0" borderId="0"/>
    <xf numFmtId="0" fontId="25" fillId="0" borderId="0"/>
    <xf numFmtId="0" fontId="1" fillId="0" borderId="0"/>
    <xf numFmtId="0" fontId="26" fillId="0" borderId="0"/>
    <xf numFmtId="0" fontId="15" fillId="0" borderId="0"/>
    <xf numFmtId="0" fontId="1" fillId="0" borderId="0"/>
  </cellStyleXfs>
  <cellXfs count="538">
    <xf numFmtId="0" fontId="0" fillId="0" borderId="0" xfId="0"/>
    <xf numFmtId="0" fontId="4" fillId="0" borderId="0" xfId="1" applyFont="1" applyFill="1" applyBorder="1" applyAlignment="1">
      <alignment vertical="center" wrapText="1"/>
    </xf>
    <xf numFmtId="0" fontId="2" fillId="0" borderId="0" xfId="1" applyFont="1" applyAlignment="1">
      <alignment vertical="center"/>
    </xf>
    <xf numFmtId="0" fontId="3" fillId="0" borderId="0" xfId="1" applyFont="1" applyBorder="1" applyAlignment="1">
      <alignment vertical="center"/>
    </xf>
    <xf numFmtId="0" fontId="3" fillId="0" borderId="0" xfId="1" applyFont="1" applyBorder="1" applyAlignment="1">
      <alignment horizontal="center" vertical="center"/>
    </xf>
    <xf numFmtId="0" fontId="2" fillId="0" borderId="0" xfId="1" applyFont="1" applyAlignment="1">
      <alignment horizontal="center" vertical="center"/>
    </xf>
    <xf numFmtId="0" fontId="2" fillId="0" borderId="0" xfId="1" applyFont="1" applyBorder="1" applyAlignment="1">
      <alignment vertical="center"/>
    </xf>
    <xf numFmtId="49" fontId="2" fillId="0" borderId="0" xfId="1" applyNumberFormat="1" applyFont="1" applyBorder="1" applyAlignment="1">
      <alignment horizontal="left" vertical="center"/>
    </xf>
    <xf numFmtId="0" fontId="2" fillId="0" borderId="0" xfId="1" applyFont="1" applyAlignment="1">
      <alignment horizontal="left" vertical="center"/>
    </xf>
    <xf numFmtId="0" fontId="2" fillId="0" borderId="0" xfId="1" applyNumberFormat="1" applyFont="1" applyBorder="1" applyAlignment="1">
      <alignment vertical="top" wrapText="1"/>
    </xf>
    <xf numFmtId="0" fontId="3" fillId="0" borderId="0" xfId="1" applyFont="1" applyAlignment="1">
      <alignment vertical="center"/>
    </xf>
    <xf numFmtId="0" fontId="2" fillId="0" borderId="0" xfId="1" applyNumberFormat="1" applyFont="1" applyBorder="1" applyAlignment="1">
      <alignment horizontal="left" vertical="center" wrapText="1"/>
    </xf>
    <xf numFmtId="49" fontId="2" fillId="0" borderId="0" xfId="1" applyNumberFormat="1" applyFont="1" applyBorder="1" applyAlignment="1">
      <alignment vertical="center"/>
    </xf>
    <xf numFmtId="0" fontId="2" fillId="0" borderId="0" xfId="1" applyFont="1" applyBorder="1" applyAlignment="1">
      <alignment horizontal="left" vertical="center"/>
    </xf>
    <xf numFmtId="0" fontId="3" fillId="0" borderId="0" xfId="1" applyFont="1" applyAlignment="1">
      <alignment horizontal="center" vertical="center"/>
    </xf>
    <xf numFmtId="49" fontId="2" fillId="0" borderId="0" xfId="1" applyNumberFormat="1" applyFont="1" applyBorder="1" applyAlignment="1">
      <alignment horizontal="center" vertical="center"/>
    </xf>
    <xf numFmtId="0" fontId="3" fillId="2" borderId="2" xfId="1" applyFont="1" applyFill="1" applyBorder="1" applyAlignment="1">
      <alignment horizontal="center" vertical="center" wrapText="1"/>
    </xf>
    <xf numFmtId="0" fontId="2" fillId="0" borderId="0" xfId="1" applyFont="1" applyFill="1" applyAlignment="1">
      <alignment vertical="center"/>
    </xf>
    <xf numFmtId="0" fontId="2" fillId="2" borderId="1" xfId="1" applyFont="1" applyFill="1" applyBorder="1" applyAlignment="1">
      <alignment horizontal="center" vertical="center" wrapText="1"/>
    </xf>
    <xf numFmtId="0" fontId="2" fillId="2" borderId="1" xfId="2"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0" borderId="1" xfId="1" applyFont="1" applyBorder="1" applyAlignment="1">
      <alignment horizontal="left" vertical="center" wrapText="1"/>
    </xf>
    <xf numFmtId="0" fontId="2" fillId="0" borderId="1" xfId="1" applyFont="1" applyBorder="1" applyAlignment="1">
      <alignment horizontal="center" vertical="center" wrapText="1"/>
    </xf>
    <xf numFmtId="0" fontId="2" fillId="3" borderId="1" xfId="1" applyFont="1" applyFill="1" applyBorder="1" applyAlignment="1">
      <alignment horizontal="center" vertical="center" wrapText="1"/>
    </xf>
    <xf numFmtId="0" fontId="2" fillId="3" borderId="1" xfId="1" applyFont="1" applyFill="1" applyBorder="1" applyAlignment="1">
      <alignment horizontal="left" vertical="center" wrapText="1"/>
    </xf>
    <xf numFmtId="0" fontId="2" fillId="0" borderId="1" xfId="1" applyFont="1" applyFill="1" applyBorder="1" applyAlignment="1">
      <alignment horizontal="center" vertical="center" wrapText="1"/>
    </xf>
    <xf numFmtId="0" fontId="2" fillId="0" borderId="1" xfId="1" applyFont="1" applyBorder="1" applyAlignment="1">
      <alignment vertical="center"/>
    </xf>
    <xf numFmtId="0" fontId="5" fillId="0" borderId="0" xfId="1" applyFont="1" applyFill="1" applyAlignment="1">
      <alignment horizontal="center" vertical="center"/>
    </xf>
    <xf numFmtId="0" fontId="2" fillId="0" borderId="1" xfId="1" applyFont="1" applyBorder="1" applyAlignment="1">
      <alignment vertical="center" wrapText="1"/>
    </xf>
    <xf numFmtId="0" fontId="2" fillId="0" borderId="1" xfId="1" applyFont="1" applyBorder="1" applyAlignment="1">
      <alignment horizontal="center" vertical="center"/>
    </xf>
    <xf numFmtId="0" fontId="2" fillId="0" borderId="0" xfId="1" applyFont="1" applyFill="1" applyAlignment="1">
      <alignment horizontal="center" vertical="center"/>
    </xf>
    <xf numFmtId="0" fontId="2" fillId="0" borderId="0" xfId="1" applyFont="1" applyBorder="1" applyAlignment="1">
      <alignment vertical="center" wrapText="1"/>
    </xf>
    <xf numFmtId="0" fontId="5" fillId="0" borderId="0" xfId="1" applyFont="1" applyBorder="1" applyAlignment="1">
      <alignment horizontal="center" vertical="center"/>
    </xf>
    <xf numFmtId="0" fontId="7" fillId="0" borderId="20" xfId="1" applyFont="1" applyBorder="1" applyAlignment="1">
      <alignment horizontal="center" vertical="center" wrapText="1" readingOrder="1"/>
    </xf>
    <xf numFmtId="0" fontId="7" fillId="0" borderId="20" xfId="1" applyFont="1" applyBorder="1" applyAlignment="1">
      <alignment horizontal="center" vertical="center" wrapText="1"/>
    </xf>
    <xf numFmtId="0" fontId="7" fillId="0" borderId="21" xfId="1" applyFont="1" applyBorder="1" applyAlignment="1">
      <alignment horizontal="left" vertical="center" wrapText="1" readingOrder="1"/>
    </xf>
    <xf numFmtId="0" fontId="8" fillId="5" borderId="21" xfId="1" applyFont="1" applyFill="1" applyBorder="1" applyAlignment="1">
      <alignment horizontal="center" vertical="center" wrapText="1" readingOrder="1"/>
    </xf>
    <xf numFmtId="0" fontId="8" fillId="6" borderId="21" xfId="1" applyFont="1" applyFill="1" applyBorder="1" applyAlignment="1">
      <alignment horizontal="center" vertical="center" wrapText="1" readingOrder="1"/>
    </xf>
    <xf numFmtId="0" fontId="8" fillId="7" borderId="21" xfId="1" applyFont="1" applyFill="1" applyBorder="1" applyAlignment="1">
      <alignment horizontal="center" vertical="center" wrapText="1" readingOrder="1"/>
    </xf>
    <xf numFmtId="0" fontId="8" fillId="8" borderId="21" xfId="1" applyFont="1" applyFill="1" applyBorder="1" applyAlignment="1">
      <alignment horizontal="center" vertical="center" wrapText="1" readingOrder="1"/>
    </xf>
    <xf numFmtId="0" fontId="9" fillId="0" borderId="0" xfId="1" applyFont="1" applyAlignment="1">
      <alignment horizontal="left" vertical="center" readingOrder="1"/>
    </xf>
    <xf numFmtId="0" fontId="10" fillId="0" borderId="0" xfId="1" applyFont="1" applyAlignment="1">
      <alignment horizontal="left" vertical="center" readingOrder="1"/>
    </xf>
    <xf numFmtId="0" fontId="11" fillId="0" borderId="0" xfId="1" applyFont="1" applyAlignment="1">
      <alignment horizontal="left" vertical="center" readingOrder="1"/>
    </xf>
    <xf numFmtId="0" fontId="12" fillId="0" borderId="0" xfId="1" applyFont="1" applyAlignment="1">
      <alignment horizontal="left" vertical="center" readingOrder="1"/>
    </xf>
    <xf numFmtId="0" fontId="2" fillId="2" borderId="1"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0" borderId="1" xfId="1" applyFont="1" applyBorder="1" applyAlignment="1">
      <alignment horizontal="center" vertical="center"/>
    </xf>
    <xf numFmtId="0" fontId="13" fillId="0" borderId="0" xfId="1" applyFont="1" applyFill="1" applyBorder="1" applyAlignment="1">
      <alignment vertical="center"/>
    </xf>
    <xf numFmtId="0" fontId="2" fillId="2" borderId="16"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0" borderId="1" xfId="1" applyFont="1" applyBorder="1" applyAlignment="1">
      <alignment horizontal="center" vertical="center"/>
    </xf>
    <xf numFmtId="0" fontId="2" fillId="0" borderId="1" xfId="1" applyFont="1" applyBorder="1" applyAlignment="1">
      <alignment horizontal="center" vertical="center"/>
    </xf>
    <xf numFmtId="0" fontId="2" fillId="2" borderId="1"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0" borderId="1" xfId="1" applyFont="1" applyBorder="1" applyAlignment="1">
      <alignment horizontal="center" vertical="center"/>
    </xf>
    <xf numFmtId="0" fontId="3" fillId="2" borderId="6" xfId="1" applyFont="1" applyFill="1" applyBorder="1" applyAlignment="1">
      <alignment horizontal="center" vertical="center" wrapText="1"/>
    </xf>
    <xf numFmtId="0" fontId="2" fillId="2" borderId="15"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7" fillId="4" borderId="20" xfId="1" applyFont="1" applyFill="1" applyBorder="1" applyAlignment="1">
      <alignment horizontal="center" vertical="center" wrapText="1" readingOrder="1"/>
    </xf>
    <xf numFmtId="0" fontId="2" fillId="0" borderId="22" xfId="1" applyFont="1" applyBorder="1" applyAlignment="1">
      <alignment horizontal="center" vertical="center" wrapText="1"/>
    </xf>
    <xf numFmtId="0" fontId="2" fillId="2" borderId="1" xfId="1" applyFont="1" applyFill="1" applyBorder="1" applyAlignment="1">
      <alignment horizontal="center" vertical="center" wrapText="1"/>
    </xf>
    <xf numFmtId="0" fontId="7" fillId="4" borderId="20" xfId="1" applyFont="1" applyFill="1" applyBorder="1" applyAlignment="1">
      <alignment horizontal="center" vertical="center" wrapText="1" readingOrder="1"/>
    </xf>
    <xf numFmtId="0" fontId="2" fillId="2" borderId="12"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2" fillId="2" borderId="15"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0" borderId="2" xfId="1" applyFont="1" applyBorder="1" applyAlignment="1">
      <alignment horizontal="center" vertical="center"/>
    </xf>
    <xf numFmtId="0" fontId="2" fillId="0" borderId="7" xfId="1" applyFont="1" applyBorder="1" applyAlignment="1">
      <alignment horizontal="center" vertical="center"/>
    </xf>
    <xf numFmtId="0" fontId="2" fillId="0" borderId="9" xfId="1" applyFont="1" applyBorder="1" applyAlignment="1">
      <alignment horizontal="center" vertical="center"/>
    </xf>
    <xf numFmtId="0" fontId="3" fillId="0" borderId="5" xfId="1" applyFont="1" applyBorder="1" applyAlignment="1">
      <alignment horizontal="center" vertical="center"/>
    </xf>
    <xf numFmtId="0" fontId="3" fillId="2" borderId="4" xfId="1" applyFont="1" applyFill="1" applyBorder="1" applyAlignment="1">
      <alignment horizontal="center" vertical="center" wrapText="1"/>
    </xf>
    <xf numFmtId="0" fontId="7" fillId="4" borderId="0" xfId="1" applyFont="1" applyFill="1" applyBorder="1" applyAlignment="1">
      <alignment horizontal="center" vertical="center" wrapText="1" readingOrder="1"/>
    </xf>
    <xf numFmtId="0" fontId="2" fillId="0" borderId="0" xfId="1" applyFont="1" applyBorder="1" applyAlignment="1">
      <alignment horizontal="center" vertical="center" wrapText="1"/>
    </xf>
    <xf numFmtId="0" fontId="2" fillId="2" borderId="7" xfId="1" applyFont="1" applyFill="1" applyBorder="1" applyAlignment="1">
      <alignment horizontal="center" vertical="center" wrapText="1"/>
    </xf>
    <xf numFmtId="0" fontId="2" fillId="2" borderId="9" xfId="1" applyFont="1" applyFill="1" applyBorder="1" applyAlignment="1">
      <alignment horizontal="center" vertical="center" wrapText="1"/>
    </xf>
    <xf numFmtId="0" fontId="2" fillId="0" borderId="16" xfId="1" applyFont="1" applyBorder="1" applyAlignment="1">
      <alignment vertical="center" wrapText="1"/>
    </xf>
    <xf numFmtId="0" fontId="7" fillId="4" borderId="0" xfId="1" applyFont="1" applyFill="1" applyBorder="1" applyAlignment="1">
      <alignment horizontal="center" vertical="center" readingOrder="1"/>
    </xf>
    <xf numFmtId="0" fontId="7" fillId="0" borderId="0" xfId="1" applyFont="1" applyBorder="1" applyAlignment="1">
      <alignment horizontal="center" vertical="center" wrapText="1" readingOrder="1"/>
    </xf>
    <xf numFmtId="0" fontId="8" fillId="6" borderId="0" xfId="1" applyFont="1" applyFill="1" applyBorder="1" applyAlignment="1">
      <alignment horizontal="center" vertical="center" wrapText="1" readingOrder="1"/>
    </xf>
    <xf numFmtId="0" fontId="8" fillId="7" borderId="0" xfId="1" applyFont="1" applyFill="1" applyBorder="1" applyAlignment="1">
      <alignment horizontal="center" vertical="center" wrapText="1" readingOrder="1"/>
    </xf>
    <xf numFmtId="0" fontId="8" fillId="8" borderId="0" xfId="1" applyFont="1" applyFill="1" applyBorder="1" applyAlignment="1">
      <alignment horizontal="center" vertical="center" wrapText="1" readingOrder="1"/>
    </xf>
    <xf numFmtId="0" fontId="2" fillId="2" borderId="1" xfId="1" applyFont="1" applyFill="1" applyBorder="1" applyAlignment="1">
      <alignment horizontal="center" vertical="center" wrapText="1"/>
    </xf>
    <xf numFmtId="0" fontId="7" fillId="4" borderId="20" xfId="1" applyFont="1" applyFill="1" applyBorder="1" applyAlignment="1">
      <alignment horizontal="center" vertical="center" wrapText="1" readingOrder="1"/>
    </xf>
    <xf numFmtId="0" fontId="2" fillId="2" borderId="12"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2" fillId="2" borderId="15"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2" fillId="2" borderId="15"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7" fillId="4" borderId="20" xfId="1" applyFont="1" applyFill="1" applyBorder="1" applyAlignment="1">
      <alignment horizontal="center" vertical="center" wrapText="1" readingOrder="1"/>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left" vertical="center" wrapText="1"/>
    </xf>
    <xf numFmtId="0" fontId="2" fillId="3" borderId="1" xfId="1" applyFont="1" applyFill="1" applyBorder="1" applyAlignment="1">
      <alignment horizontal="left" vertical="center" wrapText="1"/>
    </xf>
    <xf numFmtId="0" fontId="2" fillId="3" borderId="1" xfId="2" applyFont="1" applyFill="1" applyBorder="1" applyAlignment="1" applyProtection="1">
      <alignment horizontal="center" vertical="center" wrapText="1"/>
      <protection locked="0"/>
    </xf>
    <xf numFmtId="0" fontId="20" fillId="0" borderId="1" xfId="1" applyNumberFormat="1" applyFont="1" applyBorder="1" applyAlignment="1" applyProtection="1">
      <alignment vertical="center" wrapText="1"/>
    </xf>
    <xf numFmtId="0" fontId="20" fillId="0" borderId="1" xfId="1" applyFont="1" applyFill="1" applyBorder="1" applyAlignment="1" applyProtection="1">
      <alignment vertical="center" wrapText="1"/>
    </xf>
    <xf numFmtId="0" fontId="20" fillId="0" borderId="1" xfId="1" applyNumberFormat="1" applyFont="1" applyBorder="1" applyAlignment="1" applyProtection="1">
      <alignment horizontal="center" vertical="center" wrapText="1"/>
    </xf>
    <xf numFmtId="0" fontId="20" fillId="0" borderId="1" xfId="1" applyFont="1" applyFill="1" applyBorder="1" applyAlignment="1" applyProtection="1">
      <alignment horizontal="left" vertical="center" wrapText="1"/>
      <protection locked="0"/>
    </xf>
    <xf numFmtId="0" fontId="20" fillId="0" borderId="1" xfId="1" applyFont="1" applyBorder="1" applyAlignment="1" applyProtection="1">
      <alignment horizontal="center" vertical="center" wrapText="1"/>
      <protection locked="0"/>
    </xf>
    <xf numFmtId="0" fontId="20" fillId="0" borderId="1" xfId="1" applyFont="1" applyFill="1" applyBorder="1" applyAlignment="1" applyProtection="1">
      <alignment horizontal="center" vertical="center" wrapText="1"/>
      <protection locked="0"/>
    </xf>
    <xf numFmtId="0" fontId="20" fillId="0" borderId="5" xfId="1" applyFont="1" applyFill="1" applyBorder="1" applyAlignment="1" applyProtection="1">
      <alignment vertical="center" wrapText="1"/>
      <protection locked="0"/>
    </xf>
    <xf numFmtId="0" fontId="20" fillId="0" borderId="1" xfId="1" applyFont="1" applyFill="1" applyBorder="1" applyAlignment="1" applyProtection="1">
      <alignment vertical="center" wrapText="1"/>
      <protection locked="0"/>
    </xf>
    <xf numFmtId="0" fontId="20" fillId="0" borderId="1" xfId="1" applyFont="1" applyFill="1" applyBorder="1" applyAlignment="1" applyProtection="1">
      <alignment vertical="center"/>
      <protection locked="0"/>
    </xf>
    <xf numFmtId="0" fontId="2" fillId="3" borderId="5" xfId="1" applyFont="1" applyFill="1" applyBorder="1" applyAlignment="1">
      <alignment horizontal="center" vertical="center" wrapText="1"/>
    </xf>
    <xf numFmtId="0" fontId="2" fillId="0" borderId="0" xfId="1" applyFont="1" applyAlignment="1">
      <alignment vertical="center"/>
    </xf>
    <xf numFmtId="0" fontId="3" fillId="0" borderId="0" xfId="1" applyFont="1" applyBorder="1" applyAlignment="1">
      <alignment vertical="center"/>
    </xf>
    <xf numFmtId="0" fontId="3" fillId="0" borderId="0" xfId="1" applyFont="1" applyBorder="1" applyAlignment="1">
      <alignment horizontal="center" vertical="center"/>
    </xf>
    <xf numFmtId="0" fontId="2" fillId="0" borderId="0" xfId="1" applyFont="1" applyAlignment="1">
      <alignment horizontal="center" vertical="center"/>
    </xf>
    <xf numFmtId="0" fontId="3" fillId="0" borderId="0" xfId="1" applyFont="1" applyAlignment="1">
      <alignment vertical="center"/>
    </xf>
    <xf numFmtId="49" fontId="2" fillId="0" borderId="0" xfId="1" applyNumberFormat="1" applyFont="1" applyBorder="1" applyAlignment="1">
      <alignment horizontal="center" vertical="center"/>
    </xf>
    <xf numFmtId="49" fontId="2" fillId="0" borderId="0" xfId="1" applyNumberFormat="1" applyFont="1" applyBorder="1" applyAlignment="1">
      <alignment horizontal="left" vertical="center"/>
    </xf>
    <xf numFmtId="0" fontId="2" fillId="0" borderId="0" xfId="1" applyNumberFormat="1" applyFont="1" applyBorder="1" applyAlignment="1">
      <alignment horizontal="left" vertical="center" wrapText="1"/>
    </xf>
    <xf numFmtId="0" fontId="3" fillId="0" borderId="0" xfId="1" applyFont="1" applyAlignment="1">
      <alignment horizontal="center" vertical="center"/>
    </xf>
    <xf numFmtId="0" fontId="2" fillId="0" borderId="1" xfId="1" applyFont="1" applyBorder="1" applyAlignment="1">
      <alignment horizontal="center" vertical="center" wrapText="1"/>
    </xf>
    <xf numFmtId="0" fontId="2" fillId="0" borderId="1" xfId="1" applyFont="1" applyBorder="1" applyAlignment="1">
      <alignment vertical="center"/>
    </xf>
    <xf numFmtId="0" fontId="2" fillId="0" borderId="1" xfId="1" applyFont="1" applyBorder="1" applyAlignment="1">
      <alignment vertical="center" wrapText="1"/>
    </xf>
    <xf numFmtId="0" fontId="5" fillId="0" borderId="0" xfId="1" applyFont="1" applyBorder="1" applyAlignment="1">
      <alignment horizontal="center" vertical="center"/>
    </xf>
    <xf numFmtId="0" fontId="7" fillId="0" borderId="20" xfId="1" applyFont="1" applyBorder="1" applyAlignment="1">
      <alignment horizontal="center" vertical="center" wrapText="1" readingOrder="1"/>
    </xf>
    <xf numFmtId="0" fontId="7" fillId="0" borderId="21" xfId="1" applyFont="1" applyBorder="1" applyAlignment="1">
      <alignment horizontal="left" vertical="center" wrapText="1" readingOrder="1"/>
    </xf>
    <xf numFmtId="0" fontId="8" fillId="5" borderId="21" xfId="1" applyFont="1" applyFill="1" applyBorder="1" applyAlignment="1">
      <alignment horizontal="center" vertical="center" wrapText="1" readingOrder="1"/>
    </xf>
    <xf numFmtId="0" fontId="8" fillId="6" borderId="21" xfId="1" applyFont="1" applyFill="1" applyBorder="1" applyAlignment="1">
      <alignment horizontal="center" vertical="center" wrapText="1" readingOrder="1"/>
    </xf>
    <xf numFmtId="0" fontId="9" fillId="0" borderId="0" xfId="1" applyFont="1" applyAlignment="1">
      <alignment horizontal="left" vertical="center" readingOrder="1"/>
    </xf>
    <xf numFmtId="0" fontId="10" fillId="0" borderId="0" xfId="1" applyFont="1" applyAlignment="1">
      <alignment horizontal="left" vertical="center" readingOrder="1"/>
    </xf>
    <xf numFmtId="0" fontId="11" fillId="0" borderId="0" xfId="1" applyFont="1" applyAlignment="1">
      <alignment horizontal="left" vertical="center" readingOrder="1"/>
    </xf>
    <xf numFmtId="0" fontId="12" fillId="0" borderId="0" xfId="1" applyFont="1" applyAlignment="1">
      <alignment horizontal="left" vertical="center" readingOrder="1"/>
    </xf>
    <xf numFmtId="0" fontId="3" fillId="2" borderId="2"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0" borderId="0" xfId="1" applyFont="1" applyBorder="1" applyAlignment="1">
      <alignment vertical="center" wrapText="1"/>
    </xf>
    <xf numFmtId="0" fontId="2" fillId="0" borderId="0" xfId="1" applyFont="1" applyFill="1" applyAlignment="1">
      <alignment horizontal="center" vertical="center"/>
    </xf>
    <xf numFmtId="0" fontId="2" fillId="0" borderId="0" xfId="1" applyFont="1" applyBorder="1" applyAlignment="1">
      <alignment horizontal="left" vertical="center"/>
    </xf>
    <xf numFmtId="0" fontId="3" fillId="2" borderId="6" xfId="1" applyFont="1" applyFill="1" applyBorder="1" applyAlignment="1">
      <alignment horizontal="center" vertical="center" wrapText="1"/>
    </xf>
    <xf numFmtId="0" fontId="2" fillId="2" borderId="15"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7" fillId="4" borderId="20" xfId="1" applyFont="1" applyFill="1" applyBorder="1" applyAlignment="1">
      <alignment horizontal="center" vertical="center" wrapText="1" readingOrder="1"/>
    </xf>
    <xf numFmtId="0" fontId="2" fillId="2" borderId="1" xfId="1" applyFont="1" applyFill="1" applyBorder="1" applyAlignment="1">
      <alignment horizontal="center" vertical="center" wrapText="1"/>
    </xf>
    <xf numFmtId="0" fontId="7" fillId="4" borderId="20" xfId="1" applyFont="1" applyFill="1" applyBorder="1" applyAlignment="1">
      <alignment horizontal="center" vertical="center" wrapText="1" readingOrder="1"/>
    </xf>
    <xf numFmtId="0" fontId="2" fillId="2" borderId="12"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2" fillId="2" borderId="15"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3" borderId="1" xfId="1" applyFont="1" applyFill="1" applyBorder="1" applyAlignment="1" applyProtection="1">
      <alignment horizontal="center" vertical="center" wrapText="1"/>
      <protection locked="0"/>
    </xf>
    <xf numFmtId="0" fontId="1" fillId="3" borderId="1" xfId="1" applyFont="1" applyFill="1" applyBorder="1" applyAlignment="1" applyProtection="1">
      <alignment horizontal="center" vertical="center" wrapText="1"/>
      <protection locked="0"/>
    </xf>
    <xf numFmtId="0" fontId="22" fillId="0" borderId="1" xfId="1" applyNumberFormat="1" applyFont="1" applyBorder="1" applyAlignment="1" applyProtection="1">
      <alignment horizontal="center" vertical="center" wrapText="1"/>
    </xf>
    <xf numFmtId="0" fontId="5" fillId="0" borderId="1" xfId="1" applyFont="1" applyFill="1" applyBorder="1" applyAlignment="1" applyProtection="1">
      <alignment horizontal="justify" vertical="center" wrapText="1"/>
      <protection locked="0"/>
    </xf>
    <xf numFmtId="0" fontId="2" fillId="3" borderId="1" xfId="2" applyFont="1" applyFill="1" applyBorder="1" applyAlignment="1" applyProtection="1">
      <alignment horizontal="left" vertical="center" wrapText="1"/>
      <protection locked="0"/>
    </xf>
    <xf numFmtId="0" fontId="2" fillId="3" borderId="1"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2" fillId="2" borderId="15"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7" fillId="4" borderId="20" xfId="1" applyFont="1" applyFill="1" applyBorder="1" applyAlignment="1">
      <alignment horizontal="center" vertical="center" wrapText="1" readingOrder="1"/>
    </xf>
    <xf numFmtId="0" fontId="2" fillId="3" borderId="1" xfId="1" applyFont="1" applyFill="1" applyBorder="1" applyAlignment="1" applyProtection="1">
      <alignment vertical="center" wrapText="1"/>
      <protection locked="0"/>
    </xf>
    <xf numFmtId="0" fontId="2" fillId="3" borderId="1" xfId="1" applyFont="1" applyFill="1" applyBorder="1" applyAlignment="1" applyProtection="1">
      <alignment horizontal="justify" vertical="center" wrapText="1"/>
      <protection locked="0"/>
    </xf>
    <xf numFmtId="0" fontId="22" fillId="0" borderId="1" xfId="1" applyNumberFormat="1" applyFont="1" applyBorder="1" applyAlignment="1" applyProtection="1">
      <alignment horizontal="left" vertical="center" wrapText="1"/>
    </xf>
    <xf numFmtId="0" fontId="23" fillId="0" borderId="5" xfId="1" applyFont="1" applyFill="1" applyBorder="1" applyAlignment="1" applyProtection="1">
      <alignment horizontal="center" vertical="center" wrapText="1"/>
      <protection locked="0"/>
    </xf>
    <xf numFmtId="0" fontId="23" fillId="0" borderId="0" xfId="1" applyNumberFormat="1" applyFont="1" applyBorder="1" applyAlignment="1" applyProtection="1">
      <alignment horizontal="center" vertical="center" wrapText="1"/>
    </xf>
    <xf numFmtId="0" fontId="23" fillId="3" borderId="0" xfId="1" applyFont="1" applyFill="1" applyBorder="1" applyAlignment="1" applyProtection="1">
      <alignment horizontal="center" vertical="center" wrapText="1"/>
    </xf>
    <xf numFmtId="0" fontId="23" fillId="0" borderId="0" xfId="1" applyFont="1" applyFill="1" applyBorder="1" applyAlignment="1" applyProtection="1">
      <alignment horizontal="center" vertical="center" wrapText="1"/>
    </xf>
    <xf numFmtId="0" fontId="23" fillId="0" borderId="0" xfId="1" applyFont="1" applyFill="1" applyBorder="1" applyAlignment="1" applyProtection="1">
      <alignment horizontal="left" vertical="center" wrapText="1"/>
      <protection locked="0"/>
    </xf>
    <xf numFmtId="0" fontId="24" fillId="0" borderId="0" xfId="0" applyFont="1" applyFill="1" applyBorder="1" applyAlignment="1" applyProtection="1">
      <alignment horizontal="center" vertical="center" wrapText="1"/>
      <protection locked="0"/>
    </xf>
    <xf numFmtId="0" fontId="23" fillId="0" borderId="0" xfId="1" applyFont="1" applyBorder="1" applyAlignment="1" applyProtection="1">
      <alignment horizontal="center" vertical="center" wrapText="1"/>
      <protection locked="0"/>
    </xf>
    <xf numFmtId="0" fontId="23" fillId="0" borderId="0" xfId="1" applyFont="1" applyFill="1" applyBorder="1" applyAlignment="1" applyProtection="1">
      <alignment horizontal="center" vertical="center" wrapText="1"/>
      <protection locked="0"/>
    </xf>
    <xf numFmtId="164" fontId="23" fillId="0" borderId="0" xfId="1" applyNumberFormat="1" applyFont="1" applyFill="1" applyBorder="1" applyAlignment="1" applyProtection="1">
      <alignment horizontal="center" vertical="center" wrapText="1"/>
      <protection locked="0"/>
    </xf>
    <xf numFmtId="0" fontId="23" fillId="0" borderId="0" xfId="1" applyFont="1" applyFill="1" applyBorder="1" applyAlignment="1" applyProtection="1">
      <alignment horizontal="justify" vertical="center" wrapText="1"/>
      <protection locked="0"/>
    </xf>
    <xf numFmtId="0" fontId="23" fillId="0" borderId="0" xfId="1" applyFont="1" applyFill="1" applyBorder="1" applyAlignment="1" applyProtection="1">
      <alignment vertical="center"/>
      <protection locked="0"/>
    </xf>
    <xf numFmtId="0" fontId="14" fillId="0" borderId="0" xfId="1" applyFont="1" applyFill="1" applyBorder="1" applyAlignment="1" applyProtection="1">
      <alignment horizontal="center" vertical="center" wrapText="1"/>
    </xf>
    <xf numFmtId="0" fontId="2" fillId="0" borderId="1" xfId="1" applyFont="1" applyBorder="1" applyAlignment="1">
      <alignment horizontal="center" vertical="center"/>
    </xf>
    <xf numFmtId="0" fontId="2" fillId="2" borderId="1" xfId="1" applyFont="1" applyFill="1" applyBorder="1" applyAlignment="1">
      <alignment horizontal="center" vertical="center" wrapText="1"/>
    </xf>
    <xf numFmtId="0" fontId="2" fillId="0" borderId="1" xfId="1" applyFont="1" applyBorder="1" applyAlignment="1">
      <alignment horizontal="center" vertical="center"/>
    </xf>
    <xf numFmtId="0" fontId="14" fillId="3" borderId="1" xfId="1" applyNumberFormat="1" applyFont="1" applyFill="1" applyBorder="1" applyAlignment="1" applyProtection="1">
      <alignment horizontal="center" vertical="top" wrapText="1"/>
    </xf>
    <xf numFmtId="0" fontId="17" fillId="3" borderId="14" xfId="1" applyFont="1" applyFill="1" applyBorder="1" applyAlignment="1" applyProtection="1">
      <alignment horizontal="left" vertical="center" wrapText="1"/>
      <protection locked="0"/>
    </xf>
    <xf numFmtId="0" fontId="16" fillId="0" borderId="0" xfId="1" applyFont="1" applyAlignment="1" applyProtection="1">
      <alignment vertical="center"/>
    </xf>
    <xf numFmtId="0" fontId="14" fillId="0" borderId="1" xfId="1" applyFont="1" applyBorder="1" applyAlignment="1" applyProtection="1">
      <alignment horizontal="center" vertical="center" wrapText="1"/>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center" vertical="center" wrapText="1"/>
    </xf>
    <xf numFmtId="0" fontId="14" fillId="3" borderId="1" xfId="1" applyFont="1" applyFill="1" applyBorder="1" applyAlignment="1" applyProtection="1">
      <alignment horizontal="center" vertical="center" wrapText="1"/>
    </xf>
    <xf numFmtId="0" fontId="14" fillId="3"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4" fillId="6" borderId="1" xfId="1" applyFont="1" applyFill="1" applyBorder="1" applyAlignment="1" applyProtection="1">
      <alignment horizontal="center" vertical="center" wrapText="1"/>
    </xf>
    <xf numFmtId="0" fontId="17" fillId="0" borderId="14" xfId="2" applyFont="1" applyBorder="1" applyAlignment="1" applyProtection="1">
      <alignment horizontal="justify" vertical="center" wrapText="1"/>
      <protection locked="0"/>
    </xf>
    <xf numFmtId="0" fontId="14" fillId="0" borderId="1" xfId="1" applyFont="1" applyFill="1" applyBorder="1" applyAlignment="1" applyProtection="1">
      <alignment horizontal="center" vertical="center" wrapText="1"/>
      <protection locked="0"/>
    </xf>
    <xf numFmtId="0" fontId="17" fillId="0" borderId="1" xfId="1" applyFont="1" applyFill="1" applyBorder="1" applyAlignment="1">
      <alignment vertical="center" wrapText="1"/>
    </xf>
    <xf numFmtId="0" fontId="14" fillId="0" borderId="1" xfId="1" applyFont="1" applyFill="1" applyBorder="1" applyAlignment="1" applyProtection="1">
      <alignment horizontal="center" vertical="center" wrapText="1"/>
      <protection locked="0"/>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center" vertical="center" wrapText="1"/>
    </xf>
    <xf numFmtId="0" fontId="14" fillId="3" borderId="1" xfId="1" applyFont="1" applyFill="1" applyBorder="1" applyAlignment="1" applyProtection="1">
      <alignment horizontal="center" vertical="center" wrapText="1"/>
    </xf>
    <xf numFmtId="0" fontId="14" fillId="3"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4" fillId="3" borderId="1" xfId="1" applyFont="1" applyFill="1" applyBorder="1" applyAlignment="1" applyProtection="1">
      <alignment horizontal="center" vertical="center" wrapText="1"/>
    </xf>
    <xf numFmtId="0" fontId="14" fillId="6" borderId="1" xfId="1" applyFont="1" applyFill="1" applyBorder="1" applyAlignment="1" applyProtection="1">
      <alignment horizontal="center" vertical="center" wrapText="1"/>
    </xf>
    <xf numFmtId="0" fontId="14" fillId="3" borderId="1" xfId="1" applyFont="1" applyFill="1" applyBorder="1" applyAlignment="1" applyProtection="1">
      <alignment horizontal="justify" vertical="center" wrapText="1"/>
      <protection locked="0"/>
    </xf>
    <xf numFmtId="0" fontId="14" fillId="6" borderId="1" xfId="1" applyFont="1" applyFill="1" applyBorder="1" applyAlignment="1" applyProtection="1">
      <alignment horizontal="center" vertical="center" wrapText="1"/>
    </xf>
    <xf numFmtId="0" fontId="14" fillId="3"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protection locked="0"/>
    </xf>
    <xf numFmtId="0" fontId="14" fillId="0" borderId="1" xfId="1" applyFont="1" applyFill="1" applyBorder="1" applyAlignment="1" applyProtection="1">
      <alignment horizontal="center" vertical="center" wrapText="1"/>
      <protection locked="0"/>
    </xf>
    <xf numFmtId="0" fontId="14" fillId="0" borderId="1" xfId="1" applyFont="1" applyFill="1" applyBorder="1" applyAlignment="1" applyProtection="1">
      <alignment horizontal="center" vertical="center" wrapText="1"/>
      <protection locked="0"/>
    </xf>
    <xf numFmtId="0" fontId="2" fillId="0" borderId="1" xfId="1" applyFont="1" applyFill="1" applyBorder="1" applyAlignment="1">
      <alignment horizontal="center" vertical="center"/>
    </xf>
    <xf numFmtId="0" fontId="14" fillId="3" borderId="1" xfId="1" applyFont="1" applyFill="1" applyBorder="1" applyAlignment="1" applyProtection="1">
      <alignment horizontal="justify" vertical="center" wrapText="1"/>
      <protection locked="0"/>
    </xf>
    <xf numFmtId="0" fontId="14" fillId="0" borderId="5" xfId="1" applyFont="1" applyFill="1" applyBorder="1" applyAlignment="1" applyProtection="1">
      <alignment horizontal="left" vertical="center" wrapText="1"/>
      <protection locked="0"/>
    </xf>
    <xf numFmtId="0" fontId="3" fillId="2" borderId="6" xfId="1" applyFont="1" applyFill="1" applyBorder="1" applyAlignment="1">
      <alignment horizontal="center" vertical="center" wrapText="1"/>
    </xf>
    <xf numFmtId="0" fontId="2" fillId="2" borderId="15"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7" fillId="4" borderId="20" xfId="1" applyFont="1" applyFill="1" applyBorder="1" applyAlignment="1">
      <alignment horizontal="center" vertical="center" wrapText="1" readingOrder="1"/>
    </xf>
    <xf numFmtId="0" fontId="14" fillId="3" borderId="1" xfId="0" applyFont="1" applyFill="1" applyBorder="1" applyAlignment="1" applyProtection="1">
      <alignment horizontal="left" vertical="center" wrapText="1"/>
      <protection locked="0"/>
    </xf>
    <xf numFmtId="0" fontId="2" fillId="0" borderId="13" xfId="1" applyFont="1" applyBorder="1" applyAlignment="1">
      <alignment vertical="center"/>
    </xf>
    <xf numFmtId="0" fontId="2" fillId="0" borderId="13" xfId="1" applyFont="1" applyBorder="1" applyAlignment="1">
      <alignment vertical="center" wrapText="1"/>
    </xf>
    <xf numFmtId="0" fontId="14" fillId="10" borderId="1" xfId="1" applyFont="1" applyFill="1" applyBorder="1" applyAlignment="1" applyProtection="1">
      <alignment horizontal="center" vertical="center" wrapText="1"/>
    </xf>
    <xf numFmtId="0" fontId="14" fillId="3" borderId="1" xfId="1" applyNumberFormat="1" applyFont="1" applyFill="1" applyBorder="1" applyAlignment="1" applyProtection="1">
      <alignment horizontal="left" vertical="center" wrapText="1"/>
    </xf>
    <xf numFmtId="0" fontId="14" fillId="3" borderId="1" xfId="1" applyNumberFormat="1" applyFont="1" applyFill="1" applyBorder="1" applyAlignment="1" applyProtection="1">
      <alignment horizontal="center" vertical="center" wrapText="1"/>
    </xf>
    <xf numFmtId="0" fontId="14" fillId="3" borderId="1" xfId="1" applyFont="1" applyFill="1" applyBorder="1" applyAlignment="1" applyProtection="1">
      <alignment horizontal="left" vertical="center" wrapText="1"/>
      <protection locked="0"/>
    </xf>
    <xf numFmtId="164" fontId="14" fillId="3" borderId="5" xfId="1" applyNumberFormat="1" applyFont="1" applyFill="1" applyBorder="1" applyAlignment="1" applyProtection="1">
      <alignment horizontal="center" vertical="center" wrapText="1"/>
      <protection locked="0"/>
    </xf>
    <xf numFmtId="0" fontId="14" fillId="3" borderId="1" xfId="1" applyFont="1" applyFill="1" applyBorder="1" applyAlignment="1" applyProtection="1">
      <alignment vertical="center" wrapText="1"/>
      <protection locked="0"/>
    </xf>
    <xf numFmtId="0" fontId="14" fillId="0" borderId="1" xfId="1" applyFont="1" applyBorder="1" applyAlignment="1" applyProtection="1">
      <alignment horizontal="left"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center" vertical="center"/>
    </xf>
    <xf numFmtId="0" fontId="14" fillId="0" borderId="1" xfId="1" applyFont="1" applyFill="1" applyBorder="1" applyAlignment="1" applyProtection="1">
      <alignment horizontal="center" vertical="center"/>
    </xf>
    <xf numFmtId="0" fontId="14" fillId="11" borderId="1" xfId="1" applyFont="1" applyFill="1" applyBorder="1" applyAlignment="1" applyProtection="1">
      <alignment horizontal="center" vertical="center" wrapText="1"/>
    </xf>
    <xf numFmtId="0" fontId="14" fillId="0" borderId="1" xfId="1" applyFont="1" applyFill="1" applyBorder="1" applyAlignment="1" applyProtection="1">
      <alignment vertical="center" wrapText="1"/>
      <protection locked="0"/>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protection locked="0"/>
    </xf>
    <xf numFmtId="0" fontId="2" fillId="0" borderId="13" xfId="1" applyFont="1" applyBorder="1" applyAlignment="1">
      <alignment horizontal="center" vertical="center"/>
    </xf>
    <xf numFmtId="0" fontId="2" fillId="0" borderId="13" xfId="1" applyFont="1" applyFill="1" applyBorder="1" applyAlignment="1">
      <alignment horizontal="center" vertical="center"/>
    </xf>
    <xf numFmtId="0" fontId="7" fillId="4" borderId="1" xfId="1" applyFont="1" applyFill="1" applyBorder="1" applyAlignment="1">
      <alignment horizontal="center" vertical="center" wrapText="1" readingOrder="1"/>
    </xf>
    <xf numFmtId="0" fontId="17" fillId="3" borderId="6" xfId="0" applyFont="1" applyFill="1" applyBorder="1" applyAlignment="1" applyProtection="1">
      <alignment horizontal="left" vertical="center" wrapText="1"/>
      <protection locked="0"/>
    </xf>
    <xf numFmtId="0" fontId="14" fillId="0" borderId="1" xfId="0" applyFont="1" applyBorder="1" applyAlignment="1">
      <alignment horizontal="left" vertical="center" wrapText="1"/>
    </xf>
    <xf numFmtId="0" fontId="2" fillId="3" borderId="1" xfId="1" applyFont="1" applyFill="1" applyBorder="1" applyAlignment="1" applyProtection="1">
      <alignment horizontal="left" vertical="center" wrapText="1"/>
      <protection locked="0"/>
    </xf>
    <xf numFmtId="0" fontId="7" fillId="0" borderId="28" xfId="1" applyFont="1" applyBorder="1" applyAlignment="1">
      <alignment horizontal="center" vertical="center" wrapText="1"/>
    </xf>
    <xf numFmtId="0" fontId="8" fillId="5" borderId="27" xfId="1" applyFont="1" applyFill="1" applyBorder="1" applyAlignment="1">
      <alignment horizontal="center" vertical="center" wrapText="1" readingOrder="1"/>
    </xf>
    <xf numFmtId="0" fontId="8" fillId="6" borderId="27" xfId="1" applyFont="1" applyFill="1" applyBorder="1" applyAlignment="1">
      <alignment horizontal="center" vertical="center" wrapText="1" readingOrder="1"/>
    </xf>
    <xf numFmtId="0" fontId="8" fillId="7" borderId="27" xfId="1" applyFont="1" applyFill="1" applyBorder="1" applyAlignment="1">
      <alignment horizontal="center" vertical="center" wrapText="1" readingOrder="1"/>
    </xf>
    <xf numFmtId="0" fontId="17" fillId="0" borderId="1" xfId="2" applyFont="1" applyFill="1" applyBorder="1" applyAlignment="1" applyProtection="1">
      <alignment vertical="center" wrapText="1"/>
      <protection locked="0"/>
    </xf>
    <xf numFmtId="0" fontId="2" fillId="0" borderId="0" xfId="1" applyFont="1" applyBorder="1" applyAlignment="1">
      <alignment horizontal="center" vertical="center"/>
    </xf>
    <xf numFmtId="0" fontId="2" fillId="6" borderId="1" xfId="2" applyFont="1" applyFill="1" applyBorder="1" applyAlignment="1" applyProtection="1">
      <alignment vertical="center" wrapText="1"/>
      <protection locked="0"/>
    </xf>
    <xf numFmtId="0" fontId="14" fillId="0" borderId="1" xfId="1" applyNumberFormat="1" applyFont="1" applyBorder="1" applyAlignment="1" applyProtection="1">
      <alignment horizontal="center" vertical="center" wrapText="1"/>
    </xf>
    <xf numFmtId="0" fontId="14" fillId="3"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4" fillId="6" borderId="1" xfId="1" applyFont="1" applyFill="1" applyBorder="1" applyAlignment="1" applyProtection="1">
      <alignment horizontal="center" vertical="center" wrapText="1"/>
    </xf>
    <xf numFmtId="0" fontId="14" fillId="0" borderId="1" xfId="1" applyFont="1" applyBorder="1" applyAlignment="1" applyProtection="1">
      <alignment horizontal="center" vertical="center" wrapText="1"/>
      <protection locked="0"/>
    </xf>
    <xf numFmtId="0" fontId="14" fillId="0" borderId="1" xfId="1" applyFont="1" applyFill="1" applyBorder="1" applyAlignment="1" applyProtection="1">
      <alignment horizontal="center" vertical="center" wrapText="1"/>
      <protection locked="0"/>
    </xf>
    <xf numFmtId="0" fontId="14" fillId="0" borderId="1" xfId="1" applyNumberFormat="1" applyFont="1" applyBorder="1" applyAlignment="1" applyProtection="1">
      <alignment horizontal="left" vertical="center" wrapText="1"/>
    </xf>
    <xf numFmtId="164" fontId="14" fillId="0" borderId="5" xfId="1" applyNumberFormat="1" applyFont="1" applyFill="1" applyBorder="1" applyAlignment="1" applyProtection="1">
      <alignment horizontal="center" vertical="center" wrapText="1"/>
      <protection locked="0"/>
    </xf>
    <xf numFmtId="0" fontId="1" fillId="0" borderId="1" xfId="0" applyFont="1" applyBorder="1" applyAlignment="1" applyProtection="1">
      <alignment vertical="center" wrapText="1"/>
      <protection locked="0"/>
    </xf>
    <xf numFmtId="0" fontId="20" fillId="0" borderId="1" xfId="1" applyFont="1" applyFill="1" applyBorder="1" applyAlignment="1" applyProtection="1">
      <alignment horizontal="center" vertical="center" wrapText="1"/>
    </xf>
    <xf numFmtId="0" fontId="20" fillId="6" borderId="1" xfId="1" applyFont="1" applyFill="1" applyBorder="1" applyAlignment="1" applyProtection="1">
      <alignment horizontal="center" vertical="center" wrapText="1"/>
    </xf>
    <xf numFmtId="0" fontId="20" fillId="3" borderId="1" xfId="1" applyFont="1" applyFill="1" applyBorder="1" applyAlignment="1" applyProtection="1">
      <alignment horizontal="center" vertical="center" wrapText="1"/>
    </xf>
    <xf numFmtId="164" fontId="20" fillId="0" borderId="5" xfId="1" applyNumberFormat="1" applyFont="1" applyFill="1" applyBorder="1" applyAlignment="1" applyProtection="1">
      <alignment horizontal="center" vertical="center" wrapText="1"/>
      <protection locked="0"/>
    </xf>
    <xf numFmtId="0" fontId="3" fillId="2" borderId="6" xfId="1" applyFont="1" applyFill="1" applyBorder="1" applyAlignment="1">
      <alignment horizontal="center" vertical="center" wrapText="1"/>
    </xf>
    <xf numFmtId="0" fontId="2" fillId="2" borderId="15"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7" fillId="4" borderId="20" xfId="1" applyFont="1" applyFill="1" applyBorder="1" applyAlignment="1">
      <alignment horizontal="center" vertical="center" wrapText="1" readingOrder="1"/>
    </xf>
    <xf numFmtId="0" fontId="2" fillId="2" borderId="1" xfId="1" applyFont="1" applyFill="1" applyBorder="1" applyAlignment="1">
      <alignment horizontal="center" vertical="center" wrapText="1"/>
    </xf>
    <xf numFmtId="0" fontId="7" fillId="4" borderId="20" xfId="1" applyFont="1" applyFill="1" applyBorder="1" applyAlignment="1">
      <alignment horizontal="center" vertical="center" wrapText="1" readingOrder="1"/>
    </xf>
    <xf numFmtId="0" fontId="2" fillId="2" borderId="12"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2" fillId="2" borderId="15"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3" fillId="0" borderId="1" xfId="1" applyNumberFormat="1" applyFont="1" applyBorder="1" applyAlignment="1" applyProtection="1">
      <alignment horizontal="left" vertical="center" wrapText="1"/>
    </xf>
    <xf numFmtId="0" fontId="23" fillId="0" borderId="1" xfId="1" applyNumberFormat="1" applyFont="1" applyBorder="1" applyAlignment="1" applyProtection="1">
      <alignment horizontal="left" vertical="center" wrapText="1"/>
    </xf>
    <xf numFmtId="0" fontId="23" fillId="0" borderId="1" xfId="1" applyNumberFormat="1" applyFont="1" applyBorder="1" applyAlignment="1" applyProtection="1">
      <alignment horizontal="center" vertical="center" wrapText="1"/>
    </xf>
    <xf numFmtId="0" fontId="23" fillId="3" borderId="1" xfId="1" applyFont="1" applyFill="1" applyBorder="1" applyAlignment="1" applyProtection="1">
      <alignment horizontal="center" vertical="center" wrapText="1"/>
    </xf>
    <xf numFmtId="0" fontId="23" fillId="3" borderId="1" xfId="1" applyFont="1" applyFill="1" applyBorder="1" applyAlignment="1" applyProtection="1">
      <alignment horizontal="center" vertical="center" wrapText="1"/>
    </xf>
    <xf numFmtId="0" fontId="23" fillId="0" borderId="1" xfId="1" applyFont="1" applyFill="1" applyBorder="1" applyAlignment="1" applyProtection="1">
      <alignment horizontal="center" vertical="center" wrapText="1"/>
    </xf>
    <xf numFmtId="0" fontId="23" fillId="0" borderId="1" xfId="1" applyFont="1" applyFill="1" applyBorder="1" applyAlignment="1" applyProtection="1">
      <alignment horizontal="center" vertical="center" wrapText="1"/>
    </xf>
    <xf numFmtId="0" fontId="24" fillId="0" borderId="14" xfId="4" applyFont="1" applyBorder="1" applyAlignment="1" applyProtection="1">
      <alignment horizontal="justify" vertical="center" wrapText="1"/>
      <protection locked="0"/>
    </xf>
    <xf numFmtId="0" fontId="2" fillId="2" borderId="10" xfId="1" applyFont="1" applyFill="1" applyBorder="1" applyAlignment="1">
      <alignment horizontal="center" vertical="center" wrapText="1"/>
    </xf>
    <xf numFmtId="0" fontId="2" fillId="2" borderId="0" xfId="1" applyFont="1" applyFill="1" applyBorder="1" applyAlignment="1">
      <alignment horizontal="center" vertical="center" wrapText="1"/>
    </xf>
    <xf numFmtId="0" fontId="24" fillId="0" borderId="16" xfId="4" applyFont="1" applyBorder="1" applyAlignment="1" applyProtection="1">
      <alignment horizontal="justify" vertical="center" wrapText="1"/>
      <protection locked="0"/>
    </xf>
    <xf numFmtId="0" fontId="23" fillId="6" borderId="1" xfId="1" applyFont="1" applyFill="1" applyBorder="1" applyAlignment="1" applyProtection="1">
      <alignment horizontal="center" vertical="center" wrapText="1"/>
    </xf>
    <xf numFmtId="0" fontId="23" fillId="0" borderId="1" xfId="1" applyFont="1" applyBorder="1" applyAlignment="1" applyProtection="1">
      <alignment horizontal="center" vertical="center" wrapText="1"/>
      <protection locked="0"/>
    </xf>
    <xf numFmtId="0" fontId="23" fillId="0" borderId="1" xfId="1" applyFont="1" applyFill="1" applyBorder="1" applyAlignment="1" applyProtection="1">
      <alignment horizontal="center" vertical="center" wrapText="1"/>
      <protection locked="0"/>
    </xf>
    <xf numFmtId="0" fontId="23" fillId="0" borderId="1" xfId="1" applyFont="1" applyFill="1" applyBorder="1" applyAlignment="1" applyProtection="1">
      <alignment horizontal="center" vertical="center" wrapText="1"/>
      <protection locked="0"/>
    </xf>
    <xf numFmtId="164" fontId="23" fillId="0" borderId="5" xfId="1" applyNumberFormat="1" applyFont="1" applyFill="1" applyBorder="1" applyAlignment="1" applyProtection="1">
      <alignment horizontal="center" vertical="center" wrapText="1"/>
      <protection locked="0"/>
    </xf>
    <xf numFmtId="164" fontId="23" fillId="0" borderId="5" xfId="1" applyNumberFormat="1" applyFont="1" applyFill="1" applyBorder="1" applyAlignment="1" applyProtection="1">
      <alignment horizontal="center" vertical="center" wrapText="1"/>
      <protection locked="0"/>
    </xf>
    <xf numFmtId="0" fontId="23" fillId="0" borderId="5" xfId="1" applyFont="1" applyFill="1" applyBorder="1" applyAlignment="1" applyProtection="1">
      <alignment horizontal="left" vertical="center" wrapText="1"/>
      <protection locked="0"/>
    </xf>
    <xf numFmtId="0" fontId="2" fillId="2" borderId="1" xfId="1" applyFont="1" applyFill="1" applyBorder="1" applyAlignment="1">
      <alignment horizontal="center" vertical="center" wrapText="1"/>
    </xf>
    <xf numFmtId="0" fontId="7" fillId="4" borderId="20" xfId="1" applyFont="1" applyFill="1" applyBorder="1" applyAlignment="1">
      <alignment horizontal="center" vertical="center" wrapText="1" readingOrder="1"/>
    </xf>
    <xf numFmtId="0" fontId="2" fillId="2" borderId="12"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2" fillId="2" borderId="15"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3" fillId="0" borderId="1" xfId="1" applyNumberFormat="1" applyFont="1" applyBorder="1" applyAlignment="1" applyProtection="1">
      <alignment horizontal="left" vertical="center" wrapText="1"/>
    </xf>
    <xf numFmtId="0" fontId="23" fillId="0" borderId="1" xfId="1" applyFont="1" applyBorder="1" applyAlignment="1" applyProtection="1">
      <alignment horizontal="center" vertical="center" wrapText="1"/>
      <protection locked="0"/>
    </xf>
    <xf numFmtId="0" fontId="23" fillId="0" borderId="1" xfId="1" applyNumberFormat="1" applyFont="1" applyBorder="1" applyAlignment="1" applyProtection="1">
      <alignment horizontal="center" vertical="center" wrapText="1"/>
    </xf>
    <xf numFmtId="0" fontId="23" fillId="3" borderId="1" xfId="1" applyFont="1" applyFill="1" applyBorder="1" applyAlignment="1" applyProtection="1">
      <alignment horizontal="center" vertical="center" wrapText="1"/>
    </xf>
    <xf numFmtId="0" fontId="23" fillId="0" borderId="1" xfId="1" applyFont="1" applyFill="1" applyBorder="1" applyAlignment="1" applyProtection="1">
      <alignment horizontal="center" vertical="center" wrapText="1"/>
    </xf>
    <xf numFmtId="0" fontId="23" fillId="6" borderId="1" xfId="1" applyFont="1" applyFill="1" applyBorder="1" applyAlignment="1" applyProtection="1">
      <alignment horizontal="center" vertical="center" wrapText="1"/>
    </xf>
    <xf numFmtId="0" fontId="23" fillId="0" borderId="1" xfId="1" applyFont="1" applyFill="1" applyBorder="1" applyAlignment="1" applyProtection="1">
      <alignment horizontal="center" vertical="center" wrapText="1"/>
      <protection locked="0"/>
    </xf>
    <xf numFmtId="0" fontId="23" fillId="0" borderId="1" xfId="1" applyFont="1" applyBorder="1" applyAlignment="1" applyProtection="1">
      <alignment vertical="center" wrapText="1"/>
      <protection locked="0"/>
    </xf>
    <xf numFmtId="0" fontId="23" fillId="0" borderId="1" xfId="1" applyFont="1" applyFill="1" applyBorder="1" applyAlignment="1" applyProtection="1">
      <alignment vertical="center" wrapText="1"/>
      <protection locked="0"/>
    </xf>
    <xf numFmtId="0" fontId="23" fillId="3" borderId="1" xfId="1" applyFont="1" applyFill="1" applyBorder="1" applyAlignment="1" applyProtection="1">
      <alignment horizontal="center" vertical="center" wrapText="1"/>
      <protection locked="0"/>
    </xf>
    <xf numFmtId="0" fontId="23" fillId="0" borderId="1" xfId="1" applyNumberFormat="1" applyFont="1" applyBorder="1" applyAlignment="1" applyProtection="1">
      <alignment horizontal="justify" vertical="center" wrapText="1"/>
    </xf>
    <xf numFmtId="0" fontId="23" fillId="0" borderId="1" xfId="1" applyFont="1" applyFill="1" applyBorder="1" applyAlignment="1" applyProtection="1">
      <alignment horizontal="left" vertical="center" wrapText="1"/>
      <protection locked="0"/>
    </xf>
    <xf numFmtId="164" fontId="23" fillId="0" borderId="1" xfId="1" applyNumberFormat="1" applyFont="1" applyFill="1" applyBorder="1" applyAlignment="1" applyProtection="1">
      <alignment horizontal="center" vertical="center" wrapText="1"/>
      <protection locked="0"/>
    </xf>
    <xf numFmtId="0" fontId="4" fillId="0" borderId="0" xfId="1" applyFont="1" applyFill="1" applyBorder="1" applyAlignment="1">
      <alignment horizontal="left" vertical="center" wrapText="1"/>
    </xf>
    <xf numFmtId="0" fontId="2" fillId="0" borderId="0" xfId="1" applyNumberFormat="1" applyFont="1" applyBorder="1" applyAlignment="1">
      <alignment horizontal="left" vertical="top" wrapText="1"/>
    </xf>
    <xf numFmtId="0" fontId="3" fillId="2" borderId="0" xfId="1" applyFont="1" applyFill="1" applyBorder="1" applyAlignment="1">
      <alignment horizontal="center" vertical="center" wrapText="1"/>
    </xf>
    <xf numFmtId="0" fontId="20" fillId="0" borderId="0" xfId="1" applyFont="1" applyFill="1" applyBorder="1" applyAlignment="1" applyProtection="1">
      <alignment vertical="center"/>
      <protection locked="0"/>
    </xf>
    <xf numFmtId="0" fontId="2" fillId="0" borderId="6" xfId="1" applyFont="1" applyBorder="1" applyAlignment="1">
      <alignment vertical="center"/>
    </xf>
    <xf numFmtId="0" fontId="2" fillId="0" borderId="1" xfId="1" applyFont="1" applyFill="1" applyBorder="1" applyAlignment="1">
      <alignment vertical="center"/>
    </xf>
    <xf numFmtId="0" fontId="16" fillId="0" borderId="16" xfId="1" applyFont="1" applyFill="1" applyBorder="1" applyAlignment="1" applyProtection="1">
      <alignment vertical="center" wrapText="1"/>
      <protection locked="0"/>
    </xf>
    <xf numFmtId="0" fontId="2" fillId="2" borderId="1" xfId="1" applyFont="1" applyFill="1" applyBorder="1" applyAlignment="1">
      <alignment horizontal="center" vertical="center" wrapText="1"/>
    </xf>
    <xf numFmtId="0" fontId="2" fillId="0" borderId="1" xfId="1" applyFont="1" applyBorder="1" applyAlignment="1">
      <alignment horizontal="center" vertical="center"/>
    </xf>
    <xf numFmtId="0" fontId="2" fillId="2" borderId="1"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3" fillId="2" borderId="1" xfId="1" applyFont="1" applyFill="1" applyBorder="1" applyAlignment="1">
      <alignment horizontal="center" vertical="center" wrapText="1"/>
    </xf>
    <xf numFmtId="164" fontId="14" fillId="0" borderId="1" xfId="1" applyNumberFormat="1" applyFont="1" applyFill="1" applyBorder="1" applyAlignment="1" applyProtection="1">
      <alignment horizontal="center" vertical="center" wrapText="1"/>
      <protection locked="0"/>
    </xf>
    <xf numFmtId="0" fontId="23" fillId="0" borderId="1" xfId="1" applyFont="1" applyFill="1" applyBorder="1" applyAlignment="1" applyProtection="1">
      <alignment horizontal="left" vertical="top" wrapText="1"/>
      <protection locked="0"/>
    </xf>
    <xf numFmtId="0" fontId="23" fillId="3" borderId="1" xfId="0" applyFont="1" applyFill="1" applyBorder="1" applyAlignment="1" applyProtection="1">
      <alignment horizontal="center" vertical="center" wrapText="1"/>
      <protection locked="0"/>
    </xf>
    <xf numFmtId="0" fontId="23" fillId="3" borderId="1" xfId="1" applyFont="1" applyFill="1" applyBorder="1" applyAlignment="1">
      <alignment horizontal="left" vertical="center" wrapText="1"/>
    </xf>
    <xf numFmtId="0" fontId="7" fillId="0" borderId="20" xfId="1" applyFont="1" applyBorder="1" applyAlignment="1">
      <alignment horizontal="left" vertical="center" wrapText="1" readingOrder="1"/>
    </xf>
    <xf numFmtId="0" fontId="8" fillId="5" borderId="20" xfId="1" applyFont="1" applyFill="1" applyBorder="1" applyAlignment="1">
      <alignment horizontal="center" vertical="center" wrapText="1" readingOrder="1"/>
    </xf>
    <xf numFmtId="0" fontId="8" fillId="6" borderId="20" xfId="1" applyFont="1" applyFill="1" applyBorder="1" applyAlignment="1">
      <alignment horizontal="center" vertical="center" wrapText="1" readingOrder="1"/>
    </xf>
    <xf numFmtId="0" fontId="5" fillId="0" borderId="1" xfId="1" applyFont="1" applyBorder="1" applyAlignment="1">
      <alignment horizontal="center" vertical="center"/>
    </xf>
    <xf numFmtId="0" fontId="7" fillId="0" borderId="1" xfId="1" applyFont="1" applyBorder="1" applyAlignment="1">
      <alignment horizontal="center" vertical="center" wrapText="1" readingOrder="1"/>
    </xf>
    <xf numFmtId="0" fontId="7" fillId="0" borderId="1" xfId="1" applyFont="1" applyBorder="1" applyAlignment="1">
      <alignment horizontal="center" vertical="center" wrapText="1"/>
    </xf>
    <xf numFmtId="0" fontId="2" fillId="0" borderId="5" xfId="1" applyFont="1" applyBorder="1" applyAlignment="1">
      <alignment vertical="center"/>
    </xf>
    <xf numFmtId="0" fontId="21" fillId="0" borderId="13" xfId="1" applyFont="1" applyBorder="1" applyAlignment="1">
      <alignment vertical="center"/>
    </xf>
    <xf numFmtId="0" fontId="20" fillId="6" borderId="1" xfId="1" applyFont="1" applyFill="1" applyBorder="1" applyAlignment="1" applyProtection="1">
      <alignment vertical="center" wrapText="1"/>
    </xf>
    <xf numFmtId="0" fontId="23" fillId="3" borderId="1" xfId="1" applyFont="1" applyFill="1" applyBorder="1" applyAlignment="1">
      <alignment horizontal="center" vertical="center" wrapText="1"/>
    </xf>
    <xf numFmtId="0" fontId="14" fillId="3" borderId="1" xfId="1" applyFont="1" applyFill="1" applyBorder="1" applyAlignment="1" applyProtection="1">
      <alignment horizontal="center" vertical="center" wrapText="1"/>
      <protection locked="0"/>
    </xf>
    <xf numFmtId="0" fontId="14" fillId="3" borderId="1" xfId="1" applyFont="1" applyFill="1" applyBorder="1" applyAlignment="1" applyProtection="1">
      <alignment vertical="center" wrapText="1"/>
      <protection locked="0"/>
    </xf>
    <xf numFmtId="14" fontId="23" fillId="0" borderId="5" xfId="1" applyNumberFormat="1" applyFont="1" applyFill="1" applyBorder="1" applyAlignment="1" applyProtection="1">
      <alignment horizontal="left" vertical="center" wrapText="1"/>
      <protection locked="0"/>
    </xf>
    <xf numFmtId="0" fontId="23" fillId="3" borderId="1" xfId="1" applyFont="1" applyFill="1" applyBorder="1" applyAlignment="1" applyProtection="1">
      <alignment horizontal="justify" vertical="center" wrapText="1"/>
      <protection locked="0"/>
    </xf>
    <xf numFmtId="0" fontId="14" fillId="0" borderId="1" xfId="1" applyFont="1" applyBorder="1" applyAlignment="1" applyProtection="1">
      <alignment horizontal="center" vertical="center" wrapText="1"/>
      <protection locked="0"/>
    </xf>
    <xf numFmtId="0" fontId="14" fillId="0" borderId="1" xfId="1" applyNumberFormat="1" applyFont="1" applyBorder="1" applyAlignment="1" applyProtection="1">
      <alignment horizontal="justify" vertical="center" wrapText="1"/>
    </xf>
    <xf numFmtId="164" fontId="14" fillId="0" borderId="5" xfId="1" applyNumberFormat="1" applyFont="1" applyFill="1" applyBorder="1" applyAlignment="1" applyProtection="1">
      <alignment horizontal="center" vertical="center" wrapText="1"/>
      <protection locked="0"/>
    </xf>
    <xf numFmtId="164" fontId="14" fillId="0" borderId="5" xfId="1" applyNumberFormat="1" applyFont="1" applyFill="1" applyBorder="1" applyAlignment="1" applyProtection="1">
      <alignment horizontal="center" vertical="center" wrapText="1"/>
      <protection locked="0"/>
    </xf>
    <xf numFmtId="0" fontId="14" fillId="0" borderId="1" xfId="1" applyFont="1" applyFill="1" applyBorder="1" applyAlignment="1" applyProtection="1">
      <alignment vertical="center" wrapText="1"/>
      <protection locked="0"/>
    </xf>
    <xf numFmtId="0" fontId="14" fillId="0" borderId="1" xfId="1" applyNumberFormat="1" applyFont="1" applyBorder="1" applyAlignment="1" applyProtection="1">
      <alignment horizontal="center" vertical="center" wrapText="1"/>
    </xf>
    <xf numFmtId="0" fontId="14" fillId="3"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4" fillId="6"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protection locked="0"/>
    </xf>
    <xf numFmtId="0" fontId="14" fillId="0" borderId="1" xfId="1" applyNumberFormat="1" applyFont="1" applyBorder="1" applyAlignment="1" applyProtection="1">
      <alignment horizontal="left" vertical="center" wrapText="1"/>
    </xf>
    <xf numFmtId="164" fontId="14" fillId="0" borderId="5" xfId="1" applyNumberFormat="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left" vertical="center" wrapText="1"/>
      <protection locked="0"/>
    </xf>
    <xf numFmtId="0" fontId="23" fillId="0" borderId="1" xfId="1" applyFont="1" applyBorder="1" applyAlignment="1">
      <alignment horizontal="center" vertical="center" wrapText="1"/>
    </xf>
    <xf numFmtId="0" fontId="23" fillId="3" borderId="1" xfId="1" applyFont="1" applyFill="1" applyBorder="1" applyAlignment="1" applyProtection="1">
      <alignment vertical="center" wrapText="1"/>
      <protection locked="0"/>
    </xf>
    <xf numFmtId="0" fontId="14" fillId="6" borderId="5" xfId="1" applyFont="1" applyFill="1" applyBorder="1" applyAlignment="1" applyProtection="1">
      <alignment horizontal="center" vertical="center" wrapText="1"/>
    </xf>
    <xf numFmtId="0" fontId="2" fillId="2" borderId="11" xfId="1" applyFont="1" applyFill="1" applyBorder="1" applyAlignment="1">
      <alignment horizontal="center" vertical="center" wrapText="1"/>
    </xf>
    <xf numFmtId="0" fontId="14" fillId="0" borderId="6" xfId="1" applyFont="1" applyBorder="1" applyAlignment="1" applyProtection="1">
      <alignment horizontal="center" vertical="center" wrapText="1"/>
      <protection locked="0"/>
    </xf>
    <xf numFmtId="49" fontId="2" fillId="0" borderId="1" xfId="1" applyNumberFormat="1" applyFont="1" applyBorder="1" applyAlignment="1">
      <alignment horizontal="center" vertical="center"/>
    </xf>
    <xf numFmtId="49" fontId="2" fillId="0" borderId="1" xfId="1" applyNumberFormat="1" applyFont="1" applyBorder="1" applyAlignment="1">
      <alignment horizontal="left" vertical="center"/>
    </xf>
    <xf numFmtId="0" fontId="1" fillId="0" borderId="1" xfId="2" applyFont="1" applyFill="1" applyBorder="1" applyAlignment="1" applyProtection="1">
      <alignment horizontal="left" vertical="center" wrapText="1"/>
      <protection locked="0"/>
    </xf>
    <xf numFmtId="0" fontId="16" fillId="0" borderId="1" xfId="1" applyFont="1" applyFill="1" applyBorder="1" applyAlignment="1" applyProtection="1">
      <alignment vertical="center"/>
    </xf>
    <xf numFmtId="0" fontId="23" fillId="0" borderId="1" xfId="1" applyFont="1" applyFill="1" applyBorder="1" applyAlignment="1" applyProtection="1">
      <alignment horizontal="justify" vertical="center" wrapText="1"/>
      <protection locked="0"/>
    </xf>
    <xf numFmtId="0" fontId="23" fillId="0" borderId="1" xfId="1" applyNumberFormat="1" applyFont="1" applyBorder="1" applyAlignment="1" applyProtection="1">
      <alignment horizontal="left" vertical="center" wrapText="1"/>
    </xf>
    <xf numFmtId="0" fontId="23" fillId="0" borderId="1" xfId="1" applyNumberFormat="1" applyFont="1" applyBorder="1" applyAlignment="1" applyProtection="1">
      <alignment horizontal="center" vertical="center" wrapText="1"/>
    </xf>
    <xf numFmtId="0" fontId="23" fillId="3" borderId="1" xfId="1" applyFont="1" applyFill="1" applyBorder="1" applyAlignment="1" applyProtection="1">
      <alignment horizontal="center" vertical="center" wrapText="1"/>
    </xf>
    <xf numFmtId="0" fontId="23" fillId="0" borderId="1" xfId="1" applyFont="1" applyFill="1" applyBorder="1" applyAlignment="1" applyProtection="1">
      <alignment horizontal="center" vertical="center" wrapText="1"/>
    </xf>
    <xf numFmtId="0" fontId="23" fillId="6" borderId="1" xfId="1" applyFont="1" applyFill="1" applyBorder="1" applyAlignment="1" applyProtection="1">
      <alignment horizontal="center" vertical="center" wrapText="1"/>
    </xf>
    <xf numFmtId="0" fontId="23" fillId="0" borderId="1" xfId="1" applyFont="1" applyBorder="1" applyAlignment="1" applyProtection="1">
      <alignment horizontal="center" vertical="center" wrapText="1"/>
      <protection locked="0"/>
    </xf>
    <xf numFmtId="0" fontId="23" fillId="0" borderId="1" xfId="1" applyFont="1" applyFill="1" applyBorder="1" applyAlignment="1" applyProtection="1">
      <alignment horizontal="center" vertical="center" wrapText="1"/>
      <protection locked="0"/>
    </xf>
    <xf numFmtId="0" fontId="23" fillId="3" borderId="1" xfId="1" applyFont="1" applyFill="1" applyBorder="1" applyAlignment="1" applyProtection="1">
      <alignment horizontal="center" vertical="center" wrapText="1"/>
      <protection locked="0"/>
    </xf>
    <xf numFmtId="164" fontId="23" fillId="0" borderId="5" xfId="1" applyNumberFormat="1" applyFont="1" applyFill="1" applyBorder="1" applyAlignment="1" applyProtection="1">
      <alignment horizontal="center" vertical="center" wrapText="1"/>
      <protection locked="0"/>
    </xf>
    <xf numFmtId="0" fontId="23" fillId="0" borderId="1" xfId="1" applyFont="1" applyFill="1" applyBorder="1" applyAlignment="1" applyProtection="1">
      <alignment vertical="center" wrapText="1"/>
      <protection locked="0"/>
    </xf>
    <xf numFmtId="0" fontId="23" fillId="0" borderId="1" xfId="1" applyFont="1" applyFill="1" applyBorder="1" applyAlignment="1" applyProtection="1">
      <alignment horizontal="left" vertical="center" wrapText="1"/>
      <protection locked="0"/>
    </xf>
    <xf numFmtId="0" fontId="23" fillId="0" borderId="1" xfId="1" applyNumberFormat="1" applyFont="1" applyBorder="1" applyAlignment="1" applyProtection="1">
      <alignment horizontal="center" vertical="center" wrapText="1"/>
    </xf>
    <xf numFmtId="0" fontId="23" fillId="3" borderId="1" xfId="1" applyFont="1" applyFill="1" applyBorder="1" applyAlignment="1" applyProtection="1">
      <alignment horizontal="center" vertical="center" wrapText="1"/>
    </xf>
    <xf numFmtId="0" fontId="23" fillId="0" borderId="1" xfId="1" applyFont="1" applyFill="1" applyBorder="1" applyAlignment="1" applyProtection="1">
      <alignment horizontal="center" vertical="center" wrapText="1"/>
    </xf>
    <xf numFmtId="0" fontId="23" fillId="6" borderId="1" xfId="1" applyFont="1" applyFill="1" applyBorder="1" applyAlignment="1" applyProtection="1">
      <alignment horizontal="center" vertical="center" wrapText="1"/>
    </xf>
    <xf numFmtId="0" fontId="23" fillId="0" borderId="1" xfId="1" applyFont="1" applyBorder="1" applyAlignment="1" applyProtection="1">
      <alignment horizontal="center" vertical="center" wrapText="1"/>
      <protection locked="0"/>
    </xf>
    <xf numFmtId="0" fontId="23" fillId="0" borderId="1" xfId="1" applyFont="1" applyFill="1" applyBorder="1" applyAlignment="1" applyProtection="1">
      <alignment horizontal="center" vertical="center" wrapText="1"/>
      <protection locked="0"/>
    </xf>
    <xf numFmtId="164" fontId="23" fillId="0" borderId="5" xfId="1" applyNumberFormat="1" applyFont="1" applyFill="1" applyBorder="1" applyAlignment="1" applyProtection="1">
      <alignment horizontal="center" vertical="center" wrapText="1"/>
      <protection locked="0"/>
    </xf>
    <xf numFmtId="0" fontId="23" fillId="0" borderId="1" xfId="1" applyFont="1" applyFill="1" applyBorder="1" applyAlignment="1" applyProtection="1">
      <alignment vertical="center" wrapText="1"/>
      <protection locked="0"/>
    </xf>
    <xf numFmtId="0" fontId="23" fillId="0" borderId="1" xfId="1" applyFont="1" applyFill="1" applyBorder="1" applyAlignment="1" applyProtection="1">
      <alignment horizontal="left" vertical="center" wrapText="1"/>
      <protection locked="0"/>
    </xf>
    <xf numFmtId="0" fontId="23" fillId="0" borderId="1" xfId="1" applyNumberFormat="1" applyFont="1" applyBorder="1" applyAlignment="1" applyProtection="1">
      <alignment horizontal="center" vertical="center" wrapText="1"/>
    </xf>
    <xf numFmtId="0" fontId="23" fillId="3" borderId="1" xfId="1" applyFont="1" applyFill="1" applyBorder="1" applyAlignment="1" applyProtection="1">
      <alignment horizontal="center" vertical="center" wrapText="1"/>
    </xf>
    <xf numFmtId="0" fontId="23" fillId="0" borderId="1" xfId="1" applyFont="1" applyFill="1" applyBorder="1" applyAlignment="1" applyProtection="1">
      <alignment horizontal="center" vertical="center" wrapText="1"/>
    </xf>
    <xf numFmtId="0" fontId="23" fillId="6" borderId="1" xfId="1" applyFont="1" applyFill="1" applyBorder="1" applyAlignment="1" applyProtection="1">
      <alignment horizontal="center" vertical="center" wrapText="1"/>
    </xf>
    <xf numFmtId="0" fontId="23" fillId="0" borderId="1" xfId="1" applyFont="1" applyBorder="1" applyAlignment="1" applyProtection="1">
      <alignment horizontal="center" vertical="center" wrapText="1"/>
      <protection locked="0"/>
    </xf>
    <xf numFmtId="164" fontId="23" fillId="0" borderId="5" xfId="1" applyNumberFormat="1" applyFont="1" applyFill="1" applyBorder="1" applyAlignment="1" applyProtection="1">
      <alignment horizontal="center" vertical="center" wrapText="1"/>
      <protection locked="0"/>
    </xf>
    <xf numFmtId="0" fontId="23" fillId="0" borderId="1" xfId="1" applyFont="1" applyFill="1" applyBorder="1" applyAlignment="1" applyProtection="1">
      <alignment vertical="center" wrapText="1"/>
      <protection locked="0"/>
    </xf>
    <xf numFmtId="0" fontId="23" fillId="0" borderId="1" xfId="1" applyNumberFormat="1" applyFont="1" applyBorder="1" applyAlignment="1" applyProtection="1">
      <alignment vertical="center" wrapText="1"/>
    </xf>
    <xf numFmtId="0" fontId="23" fillId="0" borderId="1" xfId="1" applyFont="1" applyFill="1" applyBorder="1" applyAlignment="1" applyProtection="1">
      <alignment vertical="center" wrapText="1"/>
    </xf>
    <xf numFmtId="0" fontId="23" fillId="6" borderId="1" xfId="1" applyFont="1" applyFill="1" applyBorder="1" applyAlignment="1" applyProtection="1">
      <alignment vertical="center" wrapText="1"/>
    </xf>
    <xf numFmtId="0" fontId="23" fillId="0" borderId="1" xfId="1" applyFont="1" applyFill="1" applyBorder="1" applyAlignment="1" applyProtection="1">
      <alignment vertical="center"/>
      <protection locked="0"/>
    </xf>
    <xf numFmtId="0" fontId="23" fillId="0" borderId="1" xfId="1" applyNumberFormat="1" applyFont="1" applyBorder="1" applyAlignment="1" applyProtection="1">
      <alignment horizontal="center" vertical="center" wrapText="1"/>
    </xf>
    <xf numFmtId="0" fontId="23" fillId="3" borderId="1" xfId="1" applyFont="1" applyFill="1" applyBorder="1" applyAlignment="1" applyProtection="1">
      <alignment horizontal="center" vertical="center" wrapText="1"/>
    </xf>
    <xf numFmtId="0" fontId="23" fillId="0" borderId="1" xfId="1" applyFont="1" applyFill="1" applyBorder="1" applyAlignment="1" applyProtection="1">
      <alignment horizontal="center" vertical="center" wrapText="1"/>
    </xf>
    <xf numFmtId="0" fontId="23" fillId="6" borderId="1" xfId="1" applyFont="1" applyFill="1" applyBorder="1" applyAlignment="1" applyProtection="1">
      <alignment horizontal="center" vertical="center" wrapText="1"/>
    </xf>
    <xf numFmtId="0" fontId="23" fillId="0" borderId="1" xfId="1" applyFont="1" applyBorder="1" applyAlignment="1" applyProtection="1">
      <alignment horizontal="center" vertical="center" wrapText="1"/>
      <protection locked="0"/>
    </xf>
    <xf numFmtId="0" fontId="23" fillId="0" borderId="1" xfId="1" applyFont="1" applyFill="1" applyBorder="1" applyAlignment="1" applyProtection="1">
      <alignment horizontal="center" vertical="center" wrapText="1"/>
      <protection locked="0"/>
    </xf>
    <xf numFmtId="164" fontId="23" fillId="0" borderId="5" xfId="1" applyNumberFormat="1" applyFont="1" applyFill="1" applyBorder="1" applyAlignment="1" applyProtection="1">
      <alignment horizontal="center" vertical="center" wrapText="1"/>
      <protection locked="0"/>
    </xf>
    <xf numFmtId="0" fontId="23" fillId="0" borderId="5" xfId="1" applyFont="1" applyFill="1" applyBorder="1" applyAlignment="1" applyProtection="1">
      <alignment horizontal="justify" vertical="center" wrapText="1"/>
      <protection locked="0"/>
    </xf>
    <xf numFmtId="0" fontId="23" fillId="0" borderId="5" xfId="1" applyFont="1" applyFill="1" applyBorder="1" applyAlignment="1" applyProtection="1">
      <alignment horizontal="center" vertical="center" wrapText="1"/>
      <protection locked="0"/>
    </xf>
    <xf numFmtId="0" fontId="23" fillId="0" borderId="1" xfId="1" applyFont="1" applyFill="1" applyBorder="1" applyAlignment="1" applyProtection="1">
      <alignment horizontal="left" vertical="center" wrapText="1"/>
      <protection locked="0"/>
    </xf>
    <xf numFmtId="0" fontId="23" fillId="0" borderId="1" xfId="1" applyFont="1" applyFill="1" applyBorder="1" applyAlignment="1" applyProtection="1">
      <alignment vertical="center"/>
      <protection locked="0"/>
    </xf>
    <xf numFmtId="0" fontId="23" fillId="0" borderId="1" xfId="1" applyFont="1" applyFill="1" applyBorder="1" applyAlignment="1" applyProtection="1">
      <alignment horizontal="center" vertical="center" wrapText="1"/>
      <protection locked="0"/>
    </xf>
    <xf numFmtId="164" fontId="23" fillId="0" borderId="5" xfId="1" applyNumberFormat="1" applyFont="1" applyFill="1" applyBorder="1" applyAlignment="1" applyProtection="1">
      <alignment horizontal="center" vertical="center" wrapText="1"/>
      <protection locked="0"/>
    </xf>
    <xf numFmtId="0" fontId="14" fillId="0" borderId="0" xfId="1" applyNumberFormat="1" applyFont="1" applyBorder="1" applyAlignment="1" applyProtection="1">
      <alignment horizontal="center" vertical="center" wrapText="1"/>
    </xf>
    <xf numFmtId="0" fontId="14" fillId="3" borderId="0" xfId="1" applyFont="1" applyFill="1" applyBorder="1" applyAlignment="1" applyProtection="1">
      <alignment horizontal="center" vertical="center" wrapText="1"/>
    </xf>
    <xf numFmtId="0" fontId="14" fillId="6" borderId="0" xfId="1" applyFont="1" applyFill="1" applyBorder="1" applyAlignment="1" applyProtection="1">
      <alignment horizontal="center" vertical="center" wrapText="1"/>
    </xf>
    <xf numFmtId="0" fontId="14" fillId="3" borderId="0" xfId="1" applyFont="1" applyFill="1" applyBorder="1" applyAlignment="1" applyProtection="1">
      <alignment horizontal="justify" vertical="center" wrapText="1"/>
      <protection locked="0"/>
    </xf>
    <xf numFmtId="0" fontId="17" fillId="0" borderId="0" xfId="0" applyFont="1" applyFill="1" applyBorder="1" applyAlignment="1" applyProtection="1">
      <alignment horizontal="center" vertical="center" wrapText="1"/>
      <protection locked="0"/>
    </xf>
    <xf numFmtId="0" fontId="14" fillId="0" borderId="0" xfId="1" applyFont="1" applyBorder="1" applyAlignment="1" applyProtection="1">
      <alignment horizontal="center" vertical="center" wrapText="1"/>
      <protection locked="0"/>
    </xf>
    <xf numFmtId="0" fontId="14" fillId="0" borderId="0" xfId="1" applyFont="1" applyFill="1" applyBorder="1" applyAlignment="1" applyProtection="1">
      <alignment horizontal="center" vertical="center" wrapText="1"/>
      <protection locked="0"/>
    </xf>
    <xf numFmtId="0" fontId="14" fillId="3" borderId="0" xfId="1" applyFont="1" applyFill="1" applyBorder="1" applyAlignment="1" applyProtection="1">
      <alignment vertical="center" wrapText="1"/>
      <protection locked="0"/>
    </xf>
    <xf numFmtId="164" fontId="14" fillId="0" borderId="0" xfId="1" applyNumberFormat="1" applyFont="1" applyFill="1" applyBorder="1" applyAlignment="1" applyProtection="1">
      <alignment horizontal="center" vertical="center" wrapText="1"/>
      <protection locked="0"/>
    </xf>
    <xf numFmtId="0" fontId="14" fillId="0" borderId="0" xfId="1" applyFont="1" applyFill="1" applyBorder="1" applyAlignment="1" applyProtection="1">
      <alignment horizontal="left" vertical="center" wrapText="1"/>
      <protection locked="0"/>
    </xf>
    <xf numFmtId="0" fontId="14" fillId="3" borderId="0" xfId="1" applyFont="1" applyFill="1" applyBorder="1" applyAlignment="1" applyProtection="1">
      <alignment horizontal="left" vertical="center" wrapText="1"/>
      <protection locked="0"/>
    </xf>
    <xf numFmtId="0" fontId="2" fillId="0" borderId="0" xfId="1" applyFont="1" applyAlignment="1">
      <alignment vertical="center"/>
    </xf>
    <xf numFmtId="0" fontId="2" fillId="0" borderId="1" xfId="1" applyFont="1" applyBorder="1" applyAlignment="1">
      <alignment vertical="center"/>
    </xf>
    <xf numFmtId="0" fontId="5" fillId="0" borderId="0" xfId="1" applyFont="1" applyFill="1" applyAlignment="1">
      <alignment horizontal="center" vertical="center"/>
    </xf>
    <xf numFmtId="0" fontId="14" fillId="3" borderId="5" xfId="1" applyFont="1" applyFill="1" applyBorder="1" applyAlignment="1" applyProtection="1">
      <alignment horizontal="left" vertical="center" wrapText="1"/>
      <protection locked="0"/>
    </xf>
    <xf numFmtId="0" fontId="17" fillId="3" borderId="5" xfId="1" applyFont="1" applyFill="1" applyBorder="1" applyAlignment="1" applyProtection="1">
      <alignment horizontal="left" vertical="center" wrapText="1"/>
      <protection locked="0"/>
    </xf>
    <xf numFmtId="0" fontId="16" fillId="0" borderId="0" xfId="1" applyFont="1" applyAlignment="1" applyProtection="1">
      <alignment vertical="center"/>
    </xf>
    <xf numFmtId="0" fontId="14" fillId="10" borderId="1" xfId="1" applyFont="1" applyFill="1" applyBorder="1" applyAlignment="1" applyProtection="1">
      <alignment horizontal="center" vertical="center" wrapText="1"/>
    </xf>
    <xf numFmtId="0" fontId="14" fillId="3" borderId="1" xfId="1" applyNumberFormat="1" applyFont="1" applyFill="1" applyBorder="1" applyAlignment="1" applyProtection="1">
      <alignment horizontal="left" vertical="center" wrapText="1"/>
    </xf>
    <xf numFmtId="0" fontId="14" fillId="3" borderId="1" xfId="1" applyNumberFormat="1" applyFont="1" applyFill="1" applyBorder="1" applyAlignment="1" applyProtection="1">
      <alignment horizontal="center" vertical="center" wrapText="1"/>
    </xf>
    <xf numFmtId="0" fontId="14" fillId="3" borderId="1" xfId="1" applyFont="1" applyFill="1" applyBorder="1" applyAlignment="1" applyProtection="1">
      <alignment horizontal="center" vertical="center" wrapText="1"/>
    </xf>
    <xf numFmtId="0" fontId="14" fillId="3" borderId="1" xfId="1" applyFont="1" applyFill="1" applyBorder="1" applyAlignment="1" applyProtection="1">
      <alignment horizontal="center" vertical="center" wrapText="1"/>
      <protection locked="0"/>
    </xf>
    <xf numFmtId="0" fontId="14" fillId="3" borderId="1" xfId="1" applyFont="1" applyFill="1" applyBorder="1" applyAlignment="1" applyProtection="1">
      <alignment horizontal="left" vertical="center" wrapText="1"/>
      <protection locked="0"/>
    </xf>
    <xf numFmtId="0" fontId="14" fillId="3" borderId="5" xfId="1" applyFont="1" applyFill="1" applyBorder="1" applyAlignment="1" applyProtection="1">
      <alignment horizontal="left" vertical="center" wrapText="1"/>
      <protection locked="0"/>
    </xf>
    <xf numFmtId="0" fontId="14" fillId="3" borderId="5" xfId="1" applyFont="1" applyFill="1" applyBorder="1" applyAlignment="1" applyProtection="1">
      <alignment horizontal="center" vertical="center" wrapText="1"/>
      <protection locked="0"/>
    </xf>
    <xf numFmtId="0" fontId="14" fillId="3" borderId="1" xfId="1" applyFont="1" applyFill="1" applyBorder="1" applyAlignment="1" applyProtection="1">
      <alignment vertical="center" wrapText="1"/>
      <protection locked="0"/>
    </xf>
    <xf numFmtId="0" fontId="17" fillId="3" borderId="23" xfId="1" applyFont="1" applyFill="1" applyBorder="1" applyAlignment="1" applyProtection="1">
      <alignment horizontal="left" vertical="center" wrapText="1"/>
      <protection locked="0"/>
    </xf>
    <xf numFmtId="0" fontId="14" fillId="0" borderId="1" xfId="1" applyFont="1" applyFill="1" applyBorder="1" applyAlignment="1" applyProtection="1">
      <alignment horizontal="center" vertical="center" wrapText="1"/>
      <protection locked="0"/>
    </xf>
    <xf numFmtId="164" fontId="14" fillId="0" borderId="5" xfId="1" applyNumberFormat="1" applyFont="1" applyFill="1" applyBorder="1" applyAlignment="1" applyProtection="1">
      <alignment horizontal="center" vertical="center" wrapText="1"/>
      <protection locked="0"/>
    </xf>
    <xf numFmtId="0" fontId="2" fillId="2" borderId="1" xfId="1" applyFont="1" applyFill="1" applyBorder="1" applyAlignment="1">
      <alignment horizontal="center" vertical="center" wrapText="1"/>
    </xf>
    <xf numFmtId="0" fontId="2" fillId="0" borderId="1" xfId="1" applyFont="1" applyBorder="1" applyAlignment="1">
      <alignment horizontal="center" vertical="center"/>
    </xf>
    <xf numFmtId="0" fontId="2" fillId="0" borderId="0" xfId="1" applyFont="1" applyAlignment="1">
      <alignment vertical="center" wrapText="1"/>
    </xf>
    <xf numFmtId="0" fontId="1" fillId="0" borderId="1" xfId="1" applyFont="1" applyBorder="1" applyAlignment="1" applyProtection="1">
      <alignment vertical="center" wrapText="1"/>
      <protection locked="0"/>
    </xf>
    <xf numFmtId="0" fontId="1" fillId="0" borderId="1" xfId="1" applyFont="1" applyBorder="1" applyAlignment="1" applyProtection="1">
      <alignment vertical="center" wrapText="1"/>
      <protection locked="0"/>
    </xf>
    <xf numFmtId="0" fontId="2" fillId="0" borderId="16" xfId="1" applyFont="1" applyBorder="1" applyAlignment="1">
      <alignment vertical="center"/>
    </xf>
    <xf numFmtId="164" fontId="23" fillId="0" borderId="5" xfId="1" applyNumberFormat="1" applyFont="1" applyFill="1" applyBorder="1" applyAlignment="1" applyProtection="1">
      <alignment horizontal="center" vertical="center" wrapText="1"/>
      <protection locked="0"/>
    </xf>
    <xf numFmtId="0" fontId="23" fillId="0" borderId="5" xfId="1" applyFont="1" applyFill="1" applyBorder="1" applyAlignment="1" applyProtection="1">
      <alignment horizontal="left" vertical="top" wrapText="1"/>
      <protection locked="0"/>
    </xf>
    <xf numFmtId="0" fontId="23" fillId="0" borderId="1" xfId="1" applyFont="1" applyFill="1" applyBorder="1" applyAlignment="1" applyProtection="1">
      <alignment vertical="center" wrapText="1"/>
      <protection locked="0"/>
    </xf>
    <xf numFmtId="0" fontId="23" fillId="0" borderId="1" xfId="1" applyFont="1" applyFill="1" applyBorder="1" applyAlignment="1" applyProtection="1">
      <alignment vertical="center" wrapText="1"/>
      <protection locked="0"/>
    </xf>
    <xf numFmtId="0" fontId="23" fillId="0" borderId="1" xfId="1" applyFont="1" applyFill="1" applyBorder="1" applyAlignment="1" applyProtection="1">
      <alignment vertical="center" wrapText="1"/>
      <protection locked="0"/>
    </xf>
    <xf numFmtId="0" fontId="23" fillId="0" borderId="1" xfId="1" applyFont="1" applyFill="1" applyBorder="1" applyAlignment="1" applyProtection="1">
      <alignment vertical="center" wrapText="1"/>
      <protection locked="0"/>
    </xf>
    <xf numFmtId="0" fontId="2" fillId="3" borderId="29" xfId="1" applyFont="1" applyFill="1" applyBorder="1" applyAlignment="1">
      <alignment vertical="center" wrapText="1"/>
    </xf>
    <xf numFmtId="0" fontId="2" fillId="3" borderId="29" xfId="1" applyFont="1" applyFill="1" applyBorder="1" applyAlignment="1">
      <alignment vertical="center" wrapText="1"/>
    </xf>
    <xf numFmtId="0" fontId="18" fillId="3" borderId="1" xfId="1" applyFont="1" applyFill="1" applyBorder="1" applyAlignment="1">
      <alignment horizontal="left" vertical="center" wrapText="1"/>
    </xf>
    <xf numFmtId="0" fontId="2" fillId="2" borderId="1" xfId="1" applyFont="1" applyFill="1" applyBorder="1" applyAlignment="1">
      <alignment horizontal="center" vertical="center" wrapText="1"/>
    </xf>
    <xf numFmtId="0" fontId="7" fillId="4" borderId="17" xfId="1" applyFont="1" applyFill="1" applyBorder="1" applyAlignment="1">
      <alignment horizontal="center" vertical="center" wrapText="1" readingOrder="1"/>
    </xf>
    <xf numFmtId="0" fontId="7" fillId="4" borderId="20" xfId="1" applyFont="1" applyFill="1" applyBorder="1" applyAlignment="1">
      <alignment horizontal="center" vertical="center" wrapText="1" readingOrder="1"/>
    </xf>
    <xf numFmtId="0" fontId="7" fillId="4" borderId="18" xfId="1" applyFont="1" applyFill="1" applyBorder="1" applyAlignment="1">
      <alignment horizontal="center" vertical="center" readingOrder="1"/>
    </xf>
    <xf numFmtId="0" fontId="7" fillId="4" borderId="19" xfId="1" applyFont="1" applyFill="1" applyBorder="1" applyAlignment="1">
      <alignment horizontal="center" vertical="center" readingOrder="1"/>
    </xf>
    <xf numFmtId="0" fontId="2" fillId="2" borderId="5"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4" fillId="0" borderId="5" xfId="4" applyFont="1" applyFill="1" applyBorder="1" applyAlignment="1" applyProtection="1">
      <alignment horizontal="center" vertical="center" wrapText="1"/>
      <protection locked="0"/>
    </xf>
    <xf numFmtId="0" fontId="24" fillId="0" borderId="6" xfId="4" applyFont="1" applyFill="1" applyBorder="1" applyAlignment="1" applyProtection="1">
      <alignment horizontal="center" vertical="center" wrapText="1"/>
      <protection locked="0"/>
    </xf>
    <xf numFmtId="0" fontId="3" fillId="0" borderId="1" xfId="1" applyFont="1" applyBorder="1" applyAlignment="1">
      <alignment horizontal="center" vertical="center"/>
    </xf>
    <xf numFmtId="49" fontId="2" fillId="0" borderId="5" xfId="1" applyNumberFormat="1" applyFont="1" applyBorder="1" applyAlignment="1">
      <alignment horizontal="left" vertical="center"/>
    </xf>
    <xf numFmtId="49" fontId="2" fillId="0" borderId="12" xfId="1" applyNumberFormat="1" applyFont="1" applyBorder="1" applyAlignment="1">
      <alignment horizontal="left" vertical="center"/>
    </xf>
    <xf numFmtId="49" fontId="2" fillId="0" borderId="6" xfId="1" applyNumberFormat="1" applyFont="1" applyBorder="1" applyAlignment="1">
      <alignment horizontal="left" vertical="center"/>
    </xf>
    <xf numFmtId="0" fontId="5" fillId="0" borderId="1" xfId="1" applyFont="1" applyFill="1" applyBorder="1" applyAlignment="1">
      <alignment horizontal="center" vertical="center"/>
    </xf>
    <xf numFmtId="0" fontId="3" fillId="2" borderId="5" xfId="1" applyFont="1" applyFill="1" applyBorder="1" applyAlignment="1">
      <alignment horizontal="center" vertical="center" wrapText="1"/>
    </xf>
    <xf numFmtId="0" fontId="3" fillId="2" borderId="12"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3" fillId="2" borderId="13"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2" fillId="2" borderId="15"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3" fillId="2" borderId="1"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0" borderId="5" xfId="1" applyFont="1" applyBorder="1" applyAlignment="1">
      <alignment horizontal="left" vertical="center"/>
    </xf>
    <xf numFmtId="0" fontId="2" fillId="0" borderId="12" xfId="1" applyFont="1" applyBorder="1" applyAlignment="1">
      <alignment horizontal="left" vertical="center"/>
    </xf>
    <xf numFmtId="0" fontId="2" fillId="0" borderId="6" xfId="1" applyFont="1" applyBorder="1" applyAlignment="1">
      <alignment horizontal="left" vertical="center"/>
    </xf>
    <xf numFmtId="0" fontId="2" fillId="0" borderId="5" xfId="1" applyNumberFormat="1" applyFont="1" applyBorder="1" applyAlignment="1">
      <alignment horizontal="left" vertical="top" wrapText="1"/>
    </xf>
    <xf numFmtId="0" fontId="2" fillId="0" borderId="12" xfId="1" applyNumberFormat="1" applyFont="1" applyBorder="1" applyAlignment="1">
      <alignment horizontal="left" vertical="top" wrapText="1"/>
    </xf>
    <xf numFmtId="0" fontId="2" fillId="0" borderId="6" xfId="1" applyNumberFormat="1" applyFont="1" applyBorder="1" applyAlignment="1">
      <alignment horizontal="left" vertical="top" wrapText="1"/>
    </xf>
    <xf numFmtId="0" fontId="2" fillId="0" borderId="1" xfId="1" applyFont="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4" xfId="1" applyFont="1" applyFill="1" applyBorder="1" applyAlignment="1">
      <alignment horizontal="center" vertical="center"/>
    </xf>
    <xf numFmtId="0" fontId="3" fillId="2" borderId="7"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0" xfId="1" applyFont="1" applyFill="1" applyBorder="1" applyAlignment="1">
      <alignment horizontal="center" vertical="center"/>
    </xf>
    <xf numFmtId="0" fontId="3" fillId="2" borderId="11" xfId="1" applyFont="1" applyFill="1" applyBorder="1" applyAlignment="1">
      <alignment horizontal="center" vertical="center"/>
    </xf>
    <xf numFmtId="0" fontId="4" fillId="0" borderId="5" xfId="1" applyFont="1" applyFill="1" applyBorder="1" applyAlignment="1">
      <alignment horizontal="left" vertical="center" wrapText="1"/>
    </xf>
    <xf numFmtId="0" fontId="4" fillId="0" borderId="6" xfId="1" applyFont="1" applyFill="1" applyBorder="1" applyAlignment="1">
      <alignment horizontal="left" vertical="center" wrapText="1"/>
    </xf>
    <xf numFmtId="165" fontId="16" fillId="0" borderId="5" xfId="1" applyNumberFormat="1" applyFont="1" applyBorder="1" applyAlignment="1" applyProtection="1">
      <alignment horizontal="left" vertical="center"/>
    </xf>
    <xf numFmtId="165" fontId="16" fillId="0" borderId="12" xfId="1" applyNumberFormat="1" applyFont="1" applyBorder="1" applyAlignment="1" applyProtection="1">
      <alignment horizontal="left" vertical="center"/>
    </xf>
    <xf numFmtId="165" fontId="16" fillId="0" borderId="6" xfId="1" applyNumberFormat="1" applyFont="1" applyBorder="1" applyAlignment="1" applyProtection="1">
      <alignment horizontal="left" vertical="center"/>
    </xf>
    <xf numFmtId="0" fontId="17" fillId="0" borderId="5" xfId="0" applyFont="1" applyFill="1" applyBorder="1" applyAlignment="1" applyProtection="1">
      <alignment horizontal="center" vertical="center" wrapText="1"/>
      <protection locked="0"/>
    </xf>
    <xf numFmtId="0" fontId="17" fillId="0" borderId="6" xfId="0" applyFont="1" applyFill="1" applyBorder="1" applyAlignment="1" applyProtection="1">
      <alignment horizontal="center" vertical="center" wrapText="1"/>
      <protection locked="0"/>
    </xf>
    <xf numFmtId="0" fontId="16" fillId="0" borderId="5" xfId="1" applyFont="1" applyBorder="1" applyAlignment="1" applyProtection="1">
      <alignment horizontal="left" vertical="center"/>
    </xf>
    <xf numFmtId="0" fontId="16" fillId="0" borderId="12" xfId="1" applyFont="1" applyBorder="1" applyAlignment="1" applyProtection="1">
      <alignment horizontal="left" vertical="center"/>
    </xf>
    <xf numFmtId="0" fontId="16" fillId="0" borderId="6" xfId="1" applyFont="1" applyBorder="1" applyAlignment="1" applyProtection="1">
      <alignment horizontal="left" vertical="center"/>
    </xf>
    <xf numFmtId="49" fontId="16" fillId="0" borderId="5" xfId="1" applyNumberFormat="1" applyFont="1" applyBorder="1" applyAlignment="1" applyProtection="1">
      <alignment horizontal="left" vertical="center"/>
      <protection locked="0"/>
    </xf>
    <xf numFmtId="49" fontId="16" fillId="0" borderId="12" xfId="1" applyNumberFormat="1" applyFont="1" applyBorder="1" applyAlignment="1" applyProtection="1">
      <alignment horizontal="left" vertical="center"/>
      <protection locked="0"/>
    </xf>
    <xf numFmtId="49" fontId="16" fillId="0" borderId="6" xfId="1" applyNumberFormat="1" applyFont="1" applyBorder="1" applyAlignment="1" applyProtection="1">
      <alignment horizontal="left" vertical="center"/>
      <protection locked="0"/>
    </xf>
    <xf numFmtId="0" fontId="17" fillId="0" borderId="5" xfId="2" applyFont="1" applyFill="1" applyBorder="1" applyAlignment="1" applyProtection="1">
      <alignment horizontal="center" vertical="center" wrapText="1"/>
      <protection locked="0"/>
    </xf>
    <xf numFmtId="0" fontId="17" fillId="0" borderId="6" xfId="2" applyFont="1" applyFill="1" applyBorder="1" applyAlignment="1" applyProtection="1">
      <alignment horizontal="center" vertical="center" wrapText="1"/>
      <protection locked="0"/>
    </xf>
    <xf numFmtId="0" fontId="24" fillId="0" borderId="5" xfId="0" applyFont="1" applyFill="1" applyBorder="1" applyAlignment="1" applyProtection="1">
      <alignment horizontal="center" vertical="center" wrapText="1"/>
      <protection locked="0"/>
    </xf>
    <xf numFmtId="0" fontId="24" fillId="0" borderId="6" xfId="0" applyFont="1" applyFill="1" applyBorder="1" applyAlignment="1" applyProtection="1">
      <alignment horizontal="center" vertical="center" wrapText="1"/>
      <protection locked="0"/>
    </xf>
    <xf numFmtId="0" fontId="7" fillId="4" borderId="1" xfId="1" applyFont="1" applyFill="1" applyBorder="1" applyAlignment="1">
      <alignment horizontal="center" vertical="center" wrapText="1" readingOrder="1"/>
    </xf>
    <xf numFmtId="0" fontId="7" fillId="4" borderId="1" xfId="1" applyFont="1" applyFill="1" applyBorder="1" applyAlignment="1">
      <alignment horizontal="center" vertical="center" readingOrder="1"/>
    </xf>
    <xf numFmtId="0" fontId="15" fillId="0" borderId="5" xfId="0" applyFont="1" applyFill="1" applyBorder="1" applyAlignment="1" applyProtection="1">
      <alignment horizontal="center" vertical="center" wrapText="1"/>
      <protection locked="0"/>
    </xf>
    <xf numFmtId="0" fontId="15" fillId="0" borderId="6" xfId="0" applyFont="1" applyFill="1" applyBorder="1" applyAlignment="1" applyProtection="1">
      <alignment horizontal="center" vertical="center" wrapText="1"/>
      <protection locked="0"/>
    </xf>
    <xf numFmtId="0" fontId="19" fillId="0" borderId="1" xfId="1" applyFont="1" applyFill="1" applyBorder="1" applyAlignment="1" applyProtection="1">
      <alignment horizontal="left" vertical="center" wrapText="1"/>
    </xf>
    <xf numFmtId="0" fontId="17" fillId="0" borderId="1" xfId="2" applyFont="1" applyFill="1" applyBorder="1" applyAlignment="1" applyProtection="1">
      <alignment horizontal="center" vertical="center" wrapText="1"/>
      <protection locked="0"/>
    </xf>
    <xf numFmtId="0" fontId="7" fillId="4" borderId="24" xfId="1" applyFont="1" applyFill="1" applyBorder="1" applyAlignment="1">
      <alignment horizontal="center" vertical="center" wrapText="1" readingOrder="1"/>
    </xf>
    <xf numFmtId="0" fontId="7" fillId="4" borderId="25" xfId="1" applyFont="1" applyFill="1" applyBorder="1" applyAlignment="1">
      <alignment horizontal="center" vertical="center" readingOrder="1"/>
    </xf>
    <xf numFmtId="0" fontId="19" fillId="0" borderId="5" xfId="2" applyFont="1" applyFill="1" applyBorder="1" applyAlignment="1" applyProtection="1">
      <alignment horizontal="center" vertical="center" wrapText="1"/>
      <protection locked="0"/>
    </xf>
    <xf numFmtId="0" fontId="19" fillId="0" borderId="6" xfId="2" applyFont="1" applyFill="1" applyBorder="1" applyAlignment="1" applyProtection="1">
      <alignment horizontal="center" vertical="center" wrapText="1"/>
      <protection locked="0"/>
    </xf>
    <xf numFmtId="0" fontId="17" fillId="9" borderId="5" xfId="2" applyFont="1" applyFill="1" applyBorder="1" applyAlignment="1" applyProtection="1">
      <alignment horizontal="center" vertical="center" wrapText="1"/>
      <protection locked="0"/>
    </xf>
    <xf numFmtId="0" fontId="17" fillId="9" borderId="6" xfId="2" applyFont="1" applyFill="1" applyBorder="1" applyAlignment="1" applyProtection="1">
      <alignment horizontal="center" vertical="center" wrapText="1"/>
      <protection locked="0"/>
    </xf>
    <xf numFmtId="0" fontId="2" fillId="0" borderId="0" xfId="1" applyFont="1" applyAlignment="1">
      <alignment horizontal="center" vertical="center" wrapText="1"/>
    </xf>
    <xf numFmtId="0" fontId="2" fillId="0" borderId="22" xfId="1" applyFont="1" applyBorder="1" applyAlignment="1">
      <alignment horizontal="center" vertical="center" wrapText="1"/>
    </xf>
    <xf numFmtId="0" fontId="7" fillId="4" borderId="26" xfId="1" applyFont="1" applyFill="1" applyBorder="1" applyAlignment="1">
      <alignment horizontal="center" vertical="center" readingOrder="1"/>
    </xf>
    <xf numFmtId="0" fontId="17" fillId="3" borderId="5" xfId="0" applyFont="1" applyFill="1" applyBorder="1" applyAlignment="1" applyProtection="1">
      <alignment horizontal="center" vertical="center" wrapText="1"/>
      <protection locked="0"/>
    </xf>
    <xf numFmtId="0" fontId="17" fillId="3" borderId="6" xfId="0" applyFont="1" applyFill="1" applyBorder="1" applyAlignment="1" applyProtection="1">
      <alignment horizontal="center" vertical="center" wrapText="1"/>
      <protection locked="0"/>
    </xf>
    <xf numFmtId="0" fontId="17" fillId="3" borderId="5" xfId="4" applyFont="1" applyFill="1" applyBorder="1" applyAlignment="1" applyProtection="1">
      <alignment horizontal="center" vertical="center" wrapText="1"/>
      <protection locked="0"/>
    </xf>
    <xf numFmtId="0" fontId="17" fillId="3" borderId="6" xfId="4" applyFont="1" applyFill="1" applyBorder="1" applyAlignment="1" applyProtection="1">
      <alignment horizontal="center" vertical="center" wrapText="1"/>
      <protection locked="0"/>
    </xf>
    <xf numFmtId="0" fontId="24" fillId="0" borderId="1" xfId="4" applyFont="1" applyFill="1" applyBorder="1" applyAlignment="1" applyProtection="1">
      <alignment horizontal="center" vertical="center" wrapText="1"/>
      <protection locked="0"/>
    </xf>
  </cellXfs>
  <cellStyles count="9">
    <cellStyle name="Normal" xfId="0" builtinId="0"/>
    <cellStyle name="Normal 2" xfId="1"/>
    <cellStyle name="Normal 2 2" xfId="6"/>
    <cellStyle name="Normal 2 4" xfId="7"/>
    <cellStyle name="Normal 3" xfId="2"/>
    <cellStyle name="Normal 3 2" xfId="3"/>
    <cellStyle name="Normal 3 3" xfId="5"/>
    <cellStyle name="Normal 4" xfId="4"/>
    <cellStyle name="Normal 4 2" xfId="8"/>
  </cellStyles>
  <dxfs count="108">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9" Type="http://schemas.openxmlformats.org/officeDocument/2006/relationships/externalLink" Target="externalLinks/externalLink21.xml"/><Relationship Id="rId3" Type="http://schemas.openxmlformats.org/officeDocument/2006/relationships/worksheet" Target="worksheets/sheet3.xml"/><Relationship Id="rId21" Type="http://schemas.openxmlformats.org/officeDocument/2006/relationships/externalLink" Target="externalLinks/externalLink3.xml"/><Relationship Id="rId34" Type="http://schemas.openxmlformats.org/officeDocument/2006/relationships/externalLink" Target="externalLinks/externalLink16.xml"/><Relationship Id="rId42" Type="http://schemas.openxmlformats.org/officeDocument/2006/relationships/externalLink" Target="externalLinks/externalLink24.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externalLink" Target="externalLinks/externalLink15.xml"/><Relationship Id="rId38" Type="http://schemas.openxmlformats.org/officeDocument/2006/relationships/externalLink" Target="externalLinks/externalLink20.xml"/><Relationship Id="rId46" Type="http://schemas.openxmlformats.org/officeDocument/2006/relationships/externalLink" Target="externalLinks/externalLink2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externalLink" Target="externalLinks/externalLink11.xml"/><Relationship Id="rId41" Type="http://schemas.openxmlformats.org/officeDocument/2006/relationships/externalLink" Target="externalLinks/externalLink2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externalLink" Target="externalLinks/externalLink14.xml"/><Relationship Id="rId37" Type="http://schemas.openxmlformats.org/officeDocument/2006/relationships/externalLink" Target="externalLinks/externalLink19.xml"/><Relationship Id="rId40" Type="http://schemas.openxmlformats.org/officeDocument/2006/relationships/externalLink" Target="externalLinks/externalLink22.xml"/><Relationship Id="rId45" Type="http://schemas.openxmlformats.org/officeDocument/2006/relationships/externalLink" Target="externalLinks/externalLink2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36" Type="http://schemas.openxmlformats.org/officeDocument/2006/relationships/externalLink" Target="externalLinks/externalLink18.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externalLink" Target="externalLinks/externalLink13.xml"/><Relationship Id="rId44" Type="http://schemas.openxmlformats.org/officeDocument/2006/relationships/externalLink" Target="externalLinks/externalLink2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externalLink" Target="externalLinks/externalLink12.xml"/><Relationship Id="rId35" Type="http://schemas.openxmlformats.org/officeDocument/2006/relationships/externalLink" Target="externalLinks/externalLink17.xml"/><Relationship Id="rId43" Type="http://schemas.openxmlformats.org/officeDocument/2006/relationships/externalLink" Target="externalLinks/externalLink25.xml"/><Relationship Id="rId48" Type="http://schemas.openxmlformats.org/officeDocument/2006/relationships/styles" Target="style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0</xdr:col>
      <xdr:colOff>2532151</xdr:colOff>
      <xdr:row>0</xdr:row>
      <xdr:rowOff>72159</xdr:rowOff>
    </xdr:from>
    <xdr:to>
      <xdr:col>3</xdr:col>
      <xdr:colOff>277103</xdr:colOff>
      <xdr:row>3</xdr:row>
      <xdr:rowOff>173208</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532151" y="72159"/>
          <a:ext cx="3193252" cy="920199"/>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2532151</xdr:colOff>
      <xdr:row>0</xdr:row>
      <xdr:rowOff>72159</xdr:rowOff>
    </xdr:from>
    <xdr:to>
      <xdr:col>3</xdr:col>
      <xdr:colOff>277103</xdr:colOff>
      <xdr:row>3</xdr:row>
      <xdr:rowOff>173208</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532151" y="72159"/>
          <a:ext cx="3193252" cy="920199"/>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2532151</xdr:colOff>
      <xdr:row>0</xdr:row>
      <xdr:rowOff>72159</xdr:rowOff>
    </xdr:from>
    <xdr:to>
      <xdr:col>3</xdr:col>
      <xdr:colOff>277103</xdr:colOff>
      <xdr:row>3</xdr:row>
      <xdr:rowOff>173208</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532151" y="72159"/>
          <a:ext cx="3193252" cy="920199"/>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6929527</xdr:colOff>
      <xdr:row>0</xdr:row>
      <xdr:rowOff>72159</xdr:rowOff>
    </xdr:from>
    <xdr:to>
      <xdr:col>0</xdr:col>
      <xdr:colOff>10731501</xdr:colOff>
      <xdr:row>3</xdr:row>
      <xdr:rowOff>173208</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309902" y="72159"/>
          <a:ext cx="1499" cy="920199"/>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2532151</xdr:colOff>
      <xdr:row>0</xdr:row>
      <xdr:rowOff>72159</xdr:rowOff>
    </xdr:from>
    <xdr:to>
      <xdr:col>3</xdr:col>
      <xdr:colOff>277103</xdr:colOff>
      <xdr:row>3</xdr:row>
      <xdr:rowOff>173208</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532151" y="72159"/>
          <a:ext cx="3193252" cy="920199"/>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2532151</xdr:colOff>
      <xdr:row>0</xdr:row>
      <xdr:rowOff>72159</xdr:rowOff>
    </xdr:from>
    <xdr:to>
      <xdr:col>3</xdr:col>
      <xdr:colOff>277103</xdr:colOff>
      <xdr:row>3</xdr:row>
      <xdr:rowOff>173208</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532151" y="72159"/>
          <a:ext cx="3193252" cy="920199"/>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2533650</xdr:colOff>
      <xdr:row>0</xdr:row>
      <xdr:rowOff>76200</xdr:rowOff>
    </xdr:from>
    <xdr:to>
      <xdr:col>3</xdr:col>
      <xdr:colOff>276225</xdr:colOff>
      <xdr:row>3</xdr:row>
      <xdr:rowOff>171450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76200"/>
          <a:ext cx="31908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22</xdr:col>
          <xdr:colOff>1171575</xdr:colOff>
          <xdr:row>16</xdr:row>
          <xdr:rowOff>2105025</xdr:rowOff>
        </xdr:from>
        <xdr:to>
          <xdr:col>22</xdr:col>
          <xdr:colOff>1590675</xdr:colOff>
          <xdr:row>16</xdr:row>
          <xdr:rowOff>2638425</xdr:rowOff>
        </xdr:to>
        <xdr:sp macro="" textlink="">
          <xdr:nvSpPr>
            <xdr:cNvPr id="17409" name="Object 1" hidden="1">
              <a:extLst>
                <a:ext uri="{63B3BB69-23CF-44E3-9099-C40C66FF867C}">
                  <a14:compatExt spid="_x0000_s1740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1028700</xdr:colOff>
          <xdr:row>16</xdr:row>
          <xdr:rowOff>1428750</xdr:rowOff>
        </xdr:from>
        <xdr:to>
          <xdr:col>22</xdr:col>
          <xdr:colOff>1724025</xdr:colOff>
          <xdr:row>16</xdr:row>
          <xdr:rowOff>1952625</xdr:rowOff>
        </xdr:to>
        <xdr:sp macro="" textlink="">
          <xdr:nvSpPr>
            <xdr:cNvPr id="17410" name="Object 2" hidden="1">
              <a:extLst>
                <a:ext uri="{63B3BB69-23CF-44E3-9099-C40C66FF867C}">
                  <a14:compatExt spid="_x0000_s1741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895350</xdr:colOff>
          <xdr:row>16</xdr:row>
          <xdr:rowOff>28575</xdr:rowOff>
        </xdr:from>
        <xdr:to>
          <xdr:col>22</xdr:col>
          <xdr:colOff>1762125</xdr:colOff>
          <xdr:row>16</xdr:row>
          <xdr:rowOff>590550</xdr:rowOff>
        </xdr:to>
        <xdr:sp macro="" textlink="">
          <xdr:nvSpPr>
            <xdr:cNvPr id="17411" name="Object 3" hidden="1">
              <a:extLst>
                <a:ext uri="{63B3BB69-23CF-44E3-9099-C40C66FF867C}">
                  <a14:compatExt spid="_x0000_s1741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942975</xdr:colOff>
          <xdr:row>16</xdr:row>
          <xdr:rowOff>666750</xdr:rowOff>
        </xdr:from>
        <xdr:to>
          <xdr:col>22</xdr:col>
          <xdr:colOff>1781175</xdr:colOff>
          <xdr:row>16</xdr:row>
          <xdr:rowOff>1181100</xdr:rowOff>
        </xdr:to>
        <xdr:sp macro="" textlink="">
          <xdr:nvSpPr>
            <xdr:cNvPr id="17412" name="Object 4" hidden="1">
              <a:extLst>
                <a:ext uri="{63B3BB69-23CF-44E3-9099-C40C66FF867C}">
                  <a14:compatExt spid="_x0000_s1741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2397213</xdr:colOff>
      <xdr:row>0</xdr:row>
      <xdr:rowOff>0</xdr:rowOff>
    </xdr:from>
    <xdr:to>
      <xdr:col>3</xdr:col>
      <xdr:colOff>142165</xdr:colOff>
      <xdr:row>3</xdr:row>
      <xdr:rowOff>101049</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397213" y="0"/>
          <a:ext cx="5896765" cy="926549"/>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2532151</xdr:colOff>
      <xdr:row>0</xdr:row>
      <xdr:rowOff>72159</xdr:rowOff>
    </xdr:from>
    <xdr:to>
      <xdr:col>3</xdr:col>
      <xdr:colOff>277103</xdr:colOff>
      <xdr:row>3</xdr:row>
      <xdr:rowOff>173208</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532151" y="72159"/>
          <a:ext cx="3193252" cy="920199"/>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2532151</xdr:colOff>
      <xdr:row>0</xdr:row>
      <xdr:rowOff>72159</xdr:rowOff>
    </xdr:from>
    <xdr:to>
      <xdr:col>3</xdr:col>
      <xdr:colOff>277103</xdr:colOff>
      <xdr:row>3</xdr:row>
      <xdr:rowOff>173208</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532151" y="72159"/>
          <a:ext cx="3193252" cy="920199"/>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2532151</xdr:colOff>
      <xdr:row>0</xdr:row>
      <xdr:rowOff>72159</xdr:rowOff>
    </xdr:from>
    <xdr:to>
      <xdr:col>4</xdr:col>
      <xdr:colOff>0</xdr:colOff>
      <xdr:row>3</xdr:row>
      <xdr:rowOff>173208</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532151" y="72159"/>
          <a:ext cx="9326474" cy="920199"/>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6929527</xdr:colOff>
      <xdr:row>0</xdr:row>
      <xdr:rowOff>72159</xdr:rowOff>
    </xdr:from>
    <xdr:to>
      <xdr:col>0</xdr:col>
      <xdr:colOff>10731501</xdr:colOff>
      <xdr:row>3</xdr:row>
      <xdr:rowOff>173208</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757327" y="72159"/>
          <a:ext cx="1499" cy="577299"/>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2532151</xdr:colOff>
      <xdr:row>0</xdr:row>
      <xdr:rowOff>72159</xdr:rowOff>
    </xdr:from>
    <xdr:to>
      <xdr:col>3</xdr:col>
      <xdr:colOff>277103</xdr:colOff>
      <xdr:row>3</xdr:row>
      <xdr:rowOff>173208</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532151" y="72159"/>
          <a:ext cx="3193252" cy="920199"/>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2532151</xdr:colOff>
      <xdr:row>0</xdr:row>
      <xdr:rowOff>72159</xdr:rowOff>
    </xdr:from>
    <xdr:to>
      <xdr:col>3</xdr:col>
      <xdr:colOff>277103</xdr:colOff>
      <xdr:row>3</xdr:row>
      <xdr:rowOff>173208</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532151" y="72159"/>
          <a:ext cx="3193252" cy="920199"/>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2532151</xdr:colOff>
      <xdr:row>0</xdr:row>
      <xdr:rowOff>72159</xdr:rowOff>
    </xdr:from>
    <xdr:to>
      <xdr:col>3</xdr:col>
      <xdr:colOff>277103</xdr:colOff>
      <xdr:row>3</xdr:row>
      <xdr:rowOff>173208</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532151" y="72159"/>
          <a:ext cx="3193252" cy="920199"/>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hangarita\Downloads\MAPA%20%20RIESGOS%20CORRUPCI&#211;N%20comunicaciones.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BACKAP\MAPA%20DE%20RIESGO%20Atenci&#243;n%20al%20Cidadano%20final%2030-09-2017.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Users\hangarita\Downloads\E-PI-F006%20FORMATO%20MAPA%20DE%20RIESGO%20juridica.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Users\hangarita\Downloads\E-PI-F006%20FORMATO%20MAPA%20DE%20RIESGO%20contabilidad.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BACKAP\MAPA%20DE%20RIESGO%20Contabilidad%20final%2030-09-2017.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Users\hangarita\Downloads\MAPA%20DE%20RIESGOS%20ANTICORRUPCION%20presupuesto.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BACKAP\RIESGO%20SEPT%2030%20CONSOLIDADO\MATRIZ%20DE%20RIESGO%20PRESUPUESTO%2030-09-2017.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Users\hangarita\Downloads\FORMATO%20MAPA%20DE%20RIESGO%20TESORERIA.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G:\Users\hangarita\Downloads\E-PI-F006%20FORMATO%20MAPA%20DE%20RIESGO%20INF%20FINAL.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G:\Users\hangarita\Downloads\E-PI-F006%20FORMATO%20MAPA%20DE%20RIESGO%20recursos%20f&#237;sicos.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G:\Users\hangarita\Downloads\E-PI-F006%20FORMATO%20MAPA%20DE%20RIESGO%20T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hangarita\Downloads\E-PI-F006%20FORMATO%20MAPA%20DE%20RIESGO%20Planeaci&#243;n.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G:\BACKAP\MAPA%20DE%20RIESGO%20Talento%20Humano%20final%2030-09-2017.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G:\Users\hangarita\Downloads\FORMATO%20MAPA%20DE%20RIESGO%20Disciplinario.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G:\Users\hangarita\Downloads\MATRIZ_INTEGRADA_GESTI&#211;N_CORRUPCI&#211;N%20PRIMER%20SEMESTRE%202017%20con%20avances%20a%2008%20de%20agosto%20de%202017.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M:\OF_%20ASESORA_DE_PLANEACION\Compartida\Mapas%20de%20riesgos%20II%20Trimestre2017\MAPA%20DE%20RIESGOS%20Disciplinario%20final.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G:\Users\hangarita\Downloads\Mapa%20de%20corrupci&#243;n%20control%20interno.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oleObject" Target="file:///M:\1.COMPARTIDA_IDEAM\Nata\BANNER%20CONTROL%20INTERNO-01.jpg"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oleObject" Target="file:///M:\1.COMPARTIDA_IDEAM\Nata\18-08-2017_D&#237;a%20nacional%20de%20la%20lucha%20contra%20la%20corrupci&#243;n_COMUN.pdf"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oleObject" Target="file:///M:\1.COMPARTIDA_IDEAM\Nata\BANNER%20CONTROL%20INTERNO-ENERO.jpg"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oleObject" Target="file:///M:\1.COMPARTIDA_IDEAM\Nata\Banner%20OCI-%20PM%20CGR-%20JUNIO.jpg"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BACKAP\RIESGO%20SEPT%2030%20CONSOLIDADO\MAPA%20DE%20RIESGO%20Planeaci&#243;n%20fin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Users\hangarita\Downloads\E-PI-F006%20FORMATO%20MAPA%20DE%20RIESGOGenerar%20datos%20e%20informaci&#243;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Users\hangarita\Downloads\E-PI-F006%20FORMATO%20MAPA%20DE%20RIESGO%20Generar%20conocimiento%20e%20investigaci&#243;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ACKAP\MAPA%20DE%20RIESGO%20%20GENERACION%20DE%20CONOCIMIENTO%20E%20INVESTIGACION%20%20NOV-201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hangarita\Downloads\MATRIZ%20DE%20RIESGOS%20Servicios-Acreditaci&#243;n%20fina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Users\hangarita\Downloads\E-PI-F006%20FORMATO%20MAPA%20DE%20RIESGO%20servicio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Users\hangarita\Downloads\E-PI-F006%20FORMATO%20MAPA%20DE%20RIESGO%20Atenci&#243;n%20al%20cidadano%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sheetName val="IdentRiesgo"/>
      <sheetName val="DefRiesgoCorrup"/>
      <sheetName val="ImpactoRiesgoCorrupR1"/>
      <sheetName val="ImpactoRiesgoCorrup R2"/>
      <sheetName val="ImpactoRiesgoCorrupR3"/>
      <sheetName val="AnálisisRiesgo"/>
      <sheetName val="EvaluaciónRiesgoCorrupR1"/>
      <sheetName val="EvaluaciónRiesgoCorrupR2"/>
      <sheetName val="EvaluaciónRiesgoCorrupR3"/>
      <sheetName val="EvaluaciónRiesgoGestión"/>
      <sheetName val="MapaRiesgos,"/>
      <sheetName val="Anterior"/>
      <sheetName val="MapaRiesgos Gest Comunicaciones"/>
    </sheetNames>
    <sheetDataSet>
      <sheetData sheetId="0"/>
      <sheetData sheetId="1">
        <row r="2">
          <cell r="B2" t="str">
            <v>GESTIÓN DE COMUNICACIONES</v>
          </cell>
        </row>
        <row r="3">
          <cell r="B3" t="str">
            <v xml:space="preserve">Diseñar, estandarizar, promover y evaluar las estrategias de comunicación interna y externa y de redes sociales del Instituto, que permitan mantener informados a los clientes y/o usuarios sobre las decisiones, acontecimientos y demás hechos de interés general, promovidos y/o organizados por la entidad.
</v>
          </cell>
        </row>
        <row r="6">
          <cell r="A6" t="str">
            <v xml:space="preserve">Obetenr algun beneficio personal o dinero adicional, con la información técnico científica que genera el Instituto.
                                                                                                                                                                                                                                                                                                                                                                                                                                                                                                  </v>
          </cell>
          <cell r="B6" t="str">
            <v>Utilizar indebidamente la información noticiosa previo a su publicación en los diferentes canales como la Web, el Twitter o el Facebook de la Entidad.</v>
          </cell>
        </row>
      </sheetData>
      <sheetData sheetId="2"/>
      <sheetData sheetId="3"/>
      <sheetData sheetId="4"/>
      <sheetData sheetId="5"/>
      <sheetData sheetId="6">
        <row r="9">
          <cell r="B9">
            <v>0</v>
          </cell>
        </row>
      </sheetData>
      <sheetData sheetId="7"/>
      <sheetData sheetId="8"/>
      <sheetData sheetId="9">
        <row r="11">
          <cell r="F11">
            <v>85</v>
          </cell>
        </row>
      </sheetData>
      <sheetData sheetId="10"/>
      <sheetData sheetId="11"/>
      <sheetData sheetId="12"/>
      <sheetData sheetId="1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2)"/>
      <sheetName val="ContextEstratégico"/>
      <sheetName val="IdentificaciónRiesgos"/>
      <sheetName val="DefiniciónRiesgos"/>
      <sheetName val="ImpactoRiesgoCorrupción"/>
      <sheetName val="AnálisisRiesgos"/>
      <sheetName val="EvaluaciónRiesgos"/>
      <sheetName val="MapaRiesgos,"/>
      <sheetName val="Anterior"/>
      <sheetName val="MapaRiesgos"/>
    </sheetNames>
    <sheetDataSet>
      <sheetData sheetId="0"/>
      <sheetData sheetId="1"/>
      <sheetData sheetId="2">
        <row r="6">
          <cell r="A6" t="str">
            <v>1.- La no aplicación de los Procesos y Procedimientos de Atención al Ciudadano.
2.- Desconocimiento de sus obligaciones como servidor público. 
3.- No contar con condiciones ténicas, administrativas, legales y financieras</v>
          </cell>
        </row>
        <row r="8">
          <cell r="A8" t="str">
            <v>1.- Funcionarios predispuestos a la materialización de conductas de corrupción. 
2.- La no aplicación de los Procesos y Procedimientos de Atención al Ciudadano.</v>
          </cell>
          <cell r="B8" t="str">
            <v>Solicitar o aceptar pagos o cualquier otra clase de beneficio.</v>
          </cell>
          <cell r="C8" t="str">
            <v xml:space="preserve">Solicitar o aceptar pagos o cualquier otra clase de beneficio, a cambio de dar cumplimiento a las obligaciones propias del cargo asignado al Grupo de Atención al Ciudadano. </v>
          </cell>
          <cell r="D8" t="str">
            <v>Tutelas, Demandas Adminitrativas, Responsabilidad Penal y Disciplinaria y pérdida de la credibilidad.</v>
          </cell>
        </row>
      </sheetData>
      <sheetData sheetId="3">
        <row r="4">
          <cell r="A4" t="str">
            <v>Incumplir los tiempos de respuesta establecidos por la norma para la atención de PQRSD.</v>
          </cell>
          <cell r="B4">
            <v>0</v>
          </cell>
          <cell r="C4">
            <v>0</v>
          </cell>
          <cell r="D4">
            <v>0</v>
          </cell>
          <cell r="E4">
            <v>0</v>
          </cell>
          <cell r="F4" t="str">
            <v>RIESGO DE GESTIÓN</v>
          </cell>
        </row>
        <row r="5">
          <cell r="A5" t="str">
            <v xml:space="preserve">Atención inadecuada al ciudadano y falta de calidad en la respuesta, por falta de manejo en los protocolos estiupulados por el Instituto. </v>
          </cell>
          <cell r="B5">
            <v>0</v>
          </cell>
          <cell r="C5">
            <v>0</v>
          </cell>
          <cell r="D5">
            <v>0</v>
          </cell>
          <cell r="E5">
            <v>0</v>
          </cell>
          <cell r="F5" t="str">
            <v>RIESGO DE GESTIÓN</v>
          </cell>
        </row>
        <row r="6">
          <cell r="A6" t="str">
            <v xml:space="preserve">Solicitar o aceptar pagos o cualquier otra clase de beneficio, a cambio de dar cumplimiento a las obligaciones propias del cargo asignado al Grupo de Atención al Ciudadano. </v>
          </cell>
          <cell r="B6" t="str">
            <v>X</v>
          </cell>
          <cell r="C6" t="str">
            <v>X</v>
          </cell>
          <cell r="D6" t="str">
            <v>X</v>
          </cell>
          <cell r="E6" t="str">
            <v>X</v>
          </cell>
          <cell r="F6" t="str">
            <v>RIESGO DE CORRUPCIÓN</v>
          </cell>
        </row>
        <row r="7">
          <cell r="A7" t="str">
            <v/>
          </cell>
          <cell r="B7">
            <v>0</v>
          </cell>
          <cell r="C7">
            <v>0</v>
          </cell>
          <cell r="D7">
            <v>0</v>
          </cell>
          <cell r="E7">
            <v>0</v>
          </cell>
          <cell r="F7" t="str">
            <v/>
          </cell>
        </row>
        <row r="8">
          <cell r="A8" t="str">
            <v/>
          </cell>
          <cell r="B8">
            <v>0</v>
          </cell>
          <cell r="C8">
            <v>0</v>
          </cell>
          <cell r="D8">
            <v>0</v>
          </cell>
          <cell r="E8">
            <v>0</v>
          </cell>
          <cell r="F8" t="str">
            <v/>
          </cell>
        </row>
        <row r="9">
          <cell r="A9" t="str">
            <v/>
          </cell>
          <cell r="B9">
            <v>0</v>
          </cell>
          <cell r="C9">
            <v>0</v>
          </cell>
          <cell r="D9">
            <v>0</v>
          </cell>
          <cell r="E9">
            <v>0</v>
          </cell>
          <cell r="F9" t="str">
            <v/>
          </cell>
        </row>
      </sheetData>
      <sheetData sheetId="4"/>
      <sheetData sheetId="5">
        <row r="9">
          <cell r="B9">
            <v>0</v>
          </cell>
        </row>
        <row r="11">
          <cell r="B11">
            <v>0</v>
          </cell>
          <cell r="C11">
            <v>0</v>
          </cell>
          <cell r="D11">
            <v>0</v>
          </cell>
          <cell r="E11">
            <v>0</v>
          </cell>
          <cell r="F11" t="str">
            <v>X</v>
          </cell>
          <cell r="G11">
            <v>0</v>
          </cell>
          <cell r="H11">
            <v>0</v>
          </cell>
          <cell r="I11">
            <v>0</v>
          </cell>
          <cell r="J11">
            <v>0</v>
          </cell>
          <cell r="L11" t="str">
            <v>X</v>
          </cell>
          <cell r="M11" t="str">
            <v/>
          </cell>
        </row>
      </sheetData>
      <sheetData sheetId="6"/>
      <sheetData sheetId="7"/>
      <sheetData sheetId="8"/>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sheetName val="IdentRiesgo"/>
      <sheetName val="DefRiesgoCorrup"/>
      <sheetName val="ImpactoRiesgoCorrup R1"/>
      <sheetName val="AnálisisRiesgo"/>
      <sheetName val="EvaluaciónRiesgoCorrupR1"/>
      <sheetName val="EvaluaciónRiesgoGestión"/>
      <sheetName val="MapaRiesgos,"/>
      <sheetName val="Anterior"/>
      <sheetName val="MapaRiesgos Gest Juríd Contract"/>
    </sheetNames>
    <sheetDataSet>
      <sheetData sheetId="0" refreshError="1"/>
      <sheetData sheetId="1" refreshError="1">
        <row r="2">
          <cell r="B2" t="str">
            <v xml:space="preserve">Gestión Jurídica y Contractual </v>
          </cell>
        </row>
        <row r="3">
          <cell r="B3" t="str">
            <v>Asesorar a las diferentes dependencias del Instituto en temas de carácter contractual en sus diferentes etapas (precontractual, contractual y postcontractual), verificando que las mismas se ajustan a la normatividad vigente.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sheetName val="IdentRiesgo"/>
      <sheetName val="DefRiesgoCorrup"/>
      <sheetName val="ImpactoRiesgoCorrup 1"/>
      <sheetName val="ImpactoRiesgoCorrup (2)"/>
      <sheetName val="ImpactoRiesgoCorrup (3)"/>
      <sheetName val="ImpactoRiesgoCorrup (4)"/>
      <sheetName val="AnálisisRiesgo"/>
      <sheetName val="EvaluaciónRiesgoCorrup 1"/>
      <sheetName val="EvaluaciónRiesgoCorrup  (2)"/>
      <sheetName val="EvaluaciónRiesgoCorrup  (3)"/>
      <sheetName val="EvaluaciónRiesgoCorrup  (4)"/>
      <sheetName val="EvaluaciónRiesgoGestión"/>
      <sheetName val="MapaRiesgos,"/>
      <sheetName val="Anterior"/>
      <sheetName val="MapaRiesgos Gest Finan-Contab"/>
    </sheetNames>
    <sheetDataSet>
      <sheetData sheetId="0"/>
      <sheetData sheetId="1">
        <row r="2">
          <cell r="B2" t="str">
            <v>Gestión Financiera-Contabilidad</v>
          </cell>
        </row>
        <row r="3">
          <cell r="B3" t="str">
            <v>Asegurar la oportuna provisión de recursos financieros necesarios para el autosostenimiento y desempeño eficaz y eficiente de la gestión financiera de la entidad mediante el registro de la ejecución presupuestal, la presentación de estados financieros y el recaudo de los ingresos y el pago de los compromisos.</v>
          </cell>
        </row>
      </sheetData>
      <sheetData sheetId="2"/>
      <sheetData sheetId="3"/>
      <sheetData sheetId="4"/>
      <sheetData sheetId="5"/>
      <sheetData sheetId="6"/>
      <sheetData sheetId="7">
        <row r="9">
          <cell r="B9">
            <v>0</v>
          </cell>
        </row>
      </sheetData>
      <sheetData sheetId="8">
        <row r="11">
          <cell r="F11">
            <v>85</v>
          </cell>
        </row>
      </sheetData>
      <sheetData sheetId="9">
        <row r="11">
          <cell r="F11">
            <v>65</v>
          </cell>
        </row>
      </sheetData>
      <sheetData sheetId="10">
        <row r="11">
          <cell r="F11">
            <v>65</v>
          </cell>
        </row>
      </sheetData>
      <sheetData sheetId="11">
        <row r="11">
          <cell r="F11">
            <v>85</v>
          </cell>
        </row>
      </sheetData>
      <sheetData sheetId="12"/>
      <sheetData sheetId="13"/>
      <sheetData sheetId="14"/>
      <sheetData sheetId="1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2)"/>
      <sheetName val="ContextEstratégico"/>
      <sheetName val="IdentificaciónRiesgos"/>
      <sheetName val="DefiniciónRiesgos"/>
      <sheetName val="ImpactoRiesgoCorrupción"/>
      <sheetName val="AnálisisRiesgos"/>
      <sheetName val="EvaluaciónRiesgos"/>
      <sheetName val="MapaRiesgos,"/>
      <sheetName val="Anterior"/>
      <sheetName val="MapaRiesgos"/>
    </sheetNames>
    <sheetDataSet>
      <sheetData sheetId="0" refreshError="1"/>
      <sheetData sheetId="1" refreshError="1"/>
      <sheetData sheetId="2">
        <row r="6">
          <cell r="A6" t="str">
            <v>Falta de conciliaciones entre  el grupo de contabilidad y las dependencias que proveen informacion financiera</v>
          </cell>
        </row>
        <row r="10">
          <cell r="A10" t="str">
            <v>Ofrecimiento de prevendas al funcionario encargado del establecimiento de los indicadores</v>
          </cell>
          <cell r="B10" t="str">
            <v>Favorecimiento económico a terceros en las licitaciones del Instituto.</v>
          </cell>
          <cell r="C10" t="str">
            <v>Establecer los indicadores financieros de las diferentes licitaciones sin el debido análisis del sector económico del SIREM.</v>
          </cell>
          <cell r="D10" t="str">
            <v>Corrupción de Funcionario y/o contratista del grupo de contabilidad y sanciones disciplinarias por parte de los entes de control</v>
          </cell>
        </row>
        <row r="11">
          <cell r="A11" t="str">
            <v>Ofrecimiento de prevendas al funcionario encargado de la amortizacion de los anticipos</v>
          </cell>
          <cell r="B11" t="str">
            <v xml:space="preserve">Favorecer a los proveedores de contratos con la bolsa mercantil. </v>
          </cell>
          <cell r="C11" t="str">
            <v>Autorizar los desembolsos a los proveedores de contratos con la bolsa mercantil sin el lleno de los requisitos legales.</v>
          </cell>
          <cell r="D11" t="str">
            <v>Corrupción de Funcionario y/o contratista del grupo de contabilidad y sanciones disciplinarias por parte de los entes de control</v>
          </cell>
        </row>
      </sheetData>
      <sheetData sheetId="3">
        <row r="4">
          <cell r="A4" t="str">
            <v>La información contable es base fundamental para la toma de decisiones de forma tal que se pueda administrar y proporcionar adecuadamente los recursos financieros que faciliten el desarrollo y cumplimiento del plan estrategico del Ideam.</v>
          </cell>
          <cell r="B4" t="str">
            <v>x</v>
          </cell>
          <cell r="C4" t="str">
            <v>x</v>
          </cell>
          <cell r="D4" t="str">
            <v>x</v>
          </cell>
          <cell r="F4" t="str">
            <v>RIESGO DE GESTIÓN</v>
          </cell>
        </row>
        <row r="5">
          <cell r="A5" t="str">
            <v>Gestionar los pagos y obligaciones  del Instituto sin los soportes legales tales como factura, cuenta de cobro, certificaco de supervision, planilla seguridad social.</v>
          </cell>
          <cell r="B5" t="str">
            <v>x</v>
          </cell>
          <cell r="C5" t="str">
            <v>x</v>
          </cell>
          <cell r="D5" t="str">
            <v>x</v>
          </cell>
          <cell r="F5" t="str">
            <v>RIESGO DE GESTIÓN</v>
          </cell>
        </row>
        <row r="6">
          <cell r="A6" t="str">
            <v>Tramitar cuentas de contratistas y proveedores que no hayan solictado el respectivo PAC, afectando el pago de otras obligaciones programadas oportunamente.</v>
          </cell>
          <cell r="B6" t="str">
            <v>x</v>
          </cell>
          <cell r="C6" t="str">
            <v>x</v>
          </cell>
          <cell r="D6" t="str">
            <v>x</v>
          </cell>
          <cell r="F6" t="str">
            <v>RIESGO DE GESTIÓN</v>
          </cell>
        </row>
        <row r="7">
          <cell r="A7" t="str">
            <v>Presentar los informes de Ley, fuera de los terminos establecidos.</v>
          </cell>
          <cell r="B7" t="str">
            <v>x</v>
          </cell>
          <cell r="C7" t="str">
            <v>x</v>
          </cell>
          <cell r="D7" t="str">
            <v>x</v>
          </cell>
          <cell r="F7" t="str">
            <v>RIESGO DE GESTIÓN</v>
          </cell>
        </row>
        <row r="8">
          <cell r="A8" t="str">
            <v>Establecer los indicadores financieros de las diferentes licitaciones sin el debido análisis del sector económico del SIREM.</v>
          </cell>
          <cell r="B8" t="str">
            <v>x</v>
          </cell>
          <cell r="C8" t="str">
            <v>x</v>
          </cell>
          <cell r="D8" t="str">
            <v>x</v>
          </cell>
          <cell r="E8" t="str">
            <v>X</v>
          </cell>
          <cell r="F8" t="str">
            <v>RIESGO DE CORRUPCIÓN</v>
          </cell>
        </row>
        <row r="9">
          <cell r="A9" t="str">
            <v>Autorizar los desembolsos a los proveedores de contratos con la bolsa mercantil sin el lleno de los requisitos legales.</v>
          </cell>
          <cell r="B9" t="str">
            <v>x</v>
          </cell>
          <cell r="C9" t="str">
            <v>x</v>
          </cell>
          <cell r="D9" t="str">
            <v>x</v>
          </cell>
          <cell r="E9" t="str">
            <v>X</v>
          </cell>
          <cell r="F9" t="str">
            <v>RIESGO DE CORRUPCIÓN</v>
          </cell>
        </row>
      </sheetData>
      <sheetData sheetId="4" refreshError="1"/>
      <sheetData sheetId="5">
        <row r="9">
          <cell r="D9" t="str">
            <v>X</v>
          </cell>
        </row>
        <row r="13">
          <cell r="F13" t="str">
            <v>X</v>
          </cell>
          <cell r="L13" t="str">
            <v/>
          </cell>
          <cell r="M13" t="str">
            <v>X</v>
          </cell>
        </row>
        <row r="14">
          <cell r="F14" t="str">
            <v>X</v>
          </cell>
          <cell r="L14" t="str">
            <v/>
          </cell>
          <cell r="M14" t="str">
            <v>X</v>
          </cell>
        </row>
      </sheetData>
      <sheetData sheetId="6" refreshError="1"/>
      <sheetData sheetId="7" refreshError="1"/>
      <sheetData sheetId="8" refreshError="1"/>
      <sheetData sheetId="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sheetName val="IdentRiesgo"/>
      <sheetName val="DefRiesgoCorrup"/>
      <sheetName val="ImpactoRiesgoCorrup"/>
      <sheetName val="AnálisisRiesgo"/>
      <sheetName val="EvaluaciónRiesgoCorrup"/>
      <sheetName val="EvaluaciónRiesgoGestión"/>
      <sheetName val="MapaRiesgos,"/>
      <sheetName val="Anterior"/>
      <sheetName val="MapaRiesgos Gest Finan-Presupue"/>
    </sheetNames>
    <sheetDataSet>
      <sheetData sheetId="0"/>
      <sheetData sheetId="1">
        <row r="2">
          <cell r="B2" t="str">
            <v>Gestión Financiera - Presupuesto</v>
          </cell>
        </row>
        <row r="3">
          <cell r="B3" t="str">
            <v>Asegurar la oportuna provisión de recursos financieros necesarios para el autosostenimiento y desempeño eficaz y eficiente de la gestión financiera de la entidad mediante el registro de la ejecución presupuestal, la presentación de estados financieros y el recaudo de los ingresos y el pago de los compromisos.</v>
          </cell>
        </row>
      </sheetData>
      <sheetData sheetId="2"/>
      <sheetData sheetId="3"/>
      <sheetData sheetId="4">
        <row r="9">
          <cell r="B9">
            <v>0</v>
          </cell>
        </row>
      </sheetData>
      <sheetData sheetId="5">
        <row r="11">
          <cell r="F11">
            <v>100</v>
          </cell>
        </row>
      </sheetData>
      <sheetData sheetId="6"/>
      <sheetData sheetId="7"/>
      <sheetData sheetId="8"/>
      <sheetData sheetId="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2)"/>
      <sheetName val="ContextEstratégico"/>
      <sheetName val="IdentificaciónRiesgos"/>
      <sheetName val="DefiniciónRiesgos"/>
      <sheetName val="ImpactoRiesgoCorrupción"/>
      <sheetName val="AnálisisRiesgos"/>
      <sheetName val="EvaluaciónRiesgos"/>
      <sheetName val="MapaRiesgos,"/>
      <sheetName val="Anterior"/>
      <sheetName val="MapaRiesgos"/>
    </sheetNames>
    <sheetDataSet>
      <sheetData sheetId="0"/>
      <sheetData sheetId="1"/>
      <sheetData sheetId="2">
        <row r="8">
          <cell r="A8" t="str">
            <v>1. Desconocimiento de principios básicos en la ejecución del presupuesto. 
2. Falta de valores éticos y morales en los servidores públicos que toman decisiones frente al manejo presupuestal.
3. Informacion inconsistente al solicitar los Certificados de Disponibilidad.</v>
          </cell>
          <cell r="B8" t="str">
            <v>Beneficio a terceros en la expedicion de Certificados Presupuestales y Registros Presupuestales.</v>
          </cell>
          <cell r="C8" t="str">
            <v>Expedir Certificados de Disponibilidad Presupuestal y/o Registros Presupuestales amparando la contratación del Instituto  sin el lleno de los requisitos legales, en beneficio propio o a cambio de una retribución económica.</v>
          </cell>
          <cell r="D8" t="str">
            <v>1. Inconsistencias en la informacion suministrada por el Grupo de presupuesto a los diferentes entes de control.
2. Sanciones disciplinarias por parte de los entes de control.
3. Detrimento patrimonial.</v>
          </cell>
        </row>
      </sheetData>
      <sheetData sheetId="3">
        <row r="4">
          <cell r="A4" t="str">
            <v>Hace referencia a las solicitudes de certificados de disponibilidad presupuestal que se afectan con cargo a rubros presupuestales que no corresponden a la definición contenida del rubro en la Ley de Presupuesto aplicable a la vigencia.</v>
          </cell>
          <cell r="B4">
            <v>0</v>
          </cell>
          <cell r="C4">
            <v>0</v>
          </cell>
          <cell r="D4">
            <v>0</v>
          </cell>
          <cell r="E4">
            <v>0</v>
          </cell>
          <cell r="F4" t="str">
            <v>RIESGO DE GESTIÓN</v>
          </cell>
        </row>
        <row r="5">
          <cell r="A5" t="str">
            <v>Hace referencia a los errores presentados al efectuar las diferentes transacciones en el aplicativo SIIF Nacion.</v>
          </cell>
          <cell r="B5">
            <v>0</v>
          </cell>
          <cell r="C5">
            <v>0</v>
          </cell>
          <cell r="D5">
            <v>0</v>
          </cell>
          <cell r="E5">
            <v>0</v>
          </cell>
          <cell r="F5" t="str">
            <v>RIESGO DE GESTIÓN</v>
          </cell>
        </row>
        <row r="6">
          <cell r="A6" t="str">
            <v>Expedir Certificados de Disponibilidad Presupuestal y/o Registros Presupuestales amparando la contratación del Instituto  sin el lleno de los requisitos legales, en beneficio propio o a cambio de una retribución económica.</v>
          </cell>
          <cell r="B6" t="str">
            <v>X</v>
          </cell>
          <cell r="C6" t="str">
            <v>X</v>
          </cell>
          <cell r="D6" t="str">
            <v>X</v>
          </cell>
          <cell r="E6" t="str">
            <v>X</v>
          </cell>
          <cell r="F6" t="str">
            <v>RIESGO DE CORRUPCIÓN</v>
          </cell>
        </row>
        <row r="7">
          <cell r="A7" t="str">
            <v/>
          </cell>
          <cell r="B7">
            <v>0</v>
          </cell>
          <cell r="C7">
            <v>0</v>
          </cell>
          <cell r="D7">
            <v>0</v>
          </cell>
          <cell r="E7">
            <v>0</v>
          </cell>
          <cell r="F7" t="str">
            <v/>
          </cell>
        </row>
        <row r="8">
          <cell r="A8" t="str">
            <v/>
          </cell>
          <cell r="B8">
            <v>0</v>
          </cell>
          <cell r="C8">
            <v>0</v>
          </cell>
          <cell r="D8">
            <v>0</v>
          </cell>
          <cell r="E8">
            <v>0</v>
          </cell>
          <cell r="F8" t="str">
            <v/>
          </cell>
        </row>
        <row r="9">
          <cell r="A9" t="str">
            <v/>
          </cell>
          <cell r="B9">
            <v>0</v>
          </cell>
          <cell r="C9">
            <v>0</v>
          </cell>
          <cell r="D9">
            <v>0</v>
          </cell>
          <cell r="E9">
            <v>0</v>
          </cell>
          <cell r="F9" t="str">
            <v/>
          </cell>
        </row>
      </sheetData>
      <sheetData sheetId="4"/>
      <sheetData sheetId="5">
        <row r="11">
          <cell r="B11">
            <v>0</v>
          </cell>
          <cell r="C11">
            <v>0</v>
          </cell>
          <cell r="D11">
            <v>0</v>
          </cell>
          <cell r="E11">
            <v>0</v>
          </cell>
          <cell r="F11" t="str">
            <v>X</v>
          </cell>
          <cell r="G11">
            <v>0</v>
          </cell>
          <cell r="H11">
            <v>0</v>
          </cell>
          <cell r="I11">
            <v>0</v>
          </cell>
          <cell r="J11">
            <v>0</v>
          </cell>
          <cell r="L11" t="str">
            <v>X</v>
          </cell>
          <cell r="M11" t="str">
            <v/>
          </cell>
        </row>
      </sheetData>
      <sheetData sheetId="6"/>
      <sheetData sheetId="7"/>
      <sheetData sheetId="8"/>
      <sheetData sheetId="9"/>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sheetName val="IdentRiesgo"/>
      <sheetName val="DefRiesgoCorrup"/>
      <sheetName val="ImpactoRiesgoCorrup (1)"/>
      <sheetName val="AnálisisRiesgo"/>
      <sheetName val="EvaluaciónRiesgoCorrup (1)"/>
      <sheetName val="EvaluaciónRiesgoGestión"/>
      <sheetName val="MapaRiesgos,"/>
      <sheetName val="Anterior"/>
      <sheetName val="MapaRiesgos Gest Finan-Tesorerí"/>
    </sheetNames>
    <sheetDataSet>
      <sheetData sheetId="0" refreshError="1"/>
      <sheetData sheetId="1" refreshError="1">
        <row r="2">
          <cell r="B2" t="str">
            <v>GESTION FINANCIERA - TESORERÍA</v>
          </cell>
        </row>
        <row r="3">
          <cell r="B3" t="str">
            <v>Asegurar la oportuna provisión de recursos financieros necesarios para el autosostenimiento y desempeño eficaz y eficiente de la gestión financiera de la entidad mediante el registro de la ejecución presupuestal, la presentación de estados financieros y el recaudo de los ingresos y el pago de los compromisos.</v>
          </cell>
        </row>
      </sheetData>
      <sheetData sheetId="2" refreshError="1"/>
      <sheetData sheetId="3" refreshError="1"/>
      <sheetData sheetId="4" refreshError="1"/>
      <sheetData sheetId="5" refreshError="1">
        <row r="11">
          <cell r="F11">
            <v>100</v>
          </cell>
        </row>
      </sheetData>
      <sheetData sheetId="6" refreshError="1"/>
      <sheetData sheetId="7" refreshError="1"/>
      <sheetData sheetId="8" refreshError="1"/>
      <sheetData sheetId="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sheetName val="IdentRiesgo"/>
      <sheetName val="DefRiesgoCorrup"/>
      <sheetName val="ImpactoRiesgoCorrupR1"/>
      <sheetName val="AnálisisRiesgo"/>
      <sheetName val="EvaluaciónRiesgoCorrup R1"/>
      <sheetName val="EvaluaciónRiesgoGestión"/>
      <sheetName val="MapaRiesgos,"/>
      <sheetName val="Anterior"/>
      <sheetName val="MapaRiesgos Gest Informática"/>
    </sheetNames>
    <sheetDataSet>
      <sheetData sheetId="0" refreshError="1"/>
      <sheetData sheetId="1">
        <row r="2">
          <cell r="B2" t="str">
            <v>GESTION DE RECURSOS INFORMATICOS Y TECNOLOGICOS</v>
          </cell>
        </row>
        <row r="3">
          <cell r="B3" t="str">
            <v>Servir como apoyo a todos los procesos del instituto, en cuanto a la implementación, mantenimiento y soporte técnico de los sistemas de información tanto misionales como de apoyo administrativo, garantizando a los usuarios el acceso a las herramientas informáticas a través de una infraestructura tecnológica debidamente actualizada y soportada, cumpliendo con los requisitos de oportunidad, disponibilidad y seguridad.</v>
          </cell>
        </row>
      </sheetData>
      <sheetData sheetId="2" refreshError="1"/>
      <sheetData sheetId="3" refreshError="1"/>
      <sheetData sheetId="4">
        <row r="9">
          <cell r="E9" t="str">
            <v>X</v>
          </cell>
        </row>
      </sheetData>
      <sheetData sheetId="5">
        <row r="11">
          <cell r="F11">
            <v>85</v>
          </cell>
        </row>
      </sheetData>
      <sheetData sheetId="6" refreshError="1"/>
      <sheetData sheetId="7" refreshError="1"/>
      <sheetData sheetId="8" refreshError="1"/>
      <sheetData sheetId="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sheetName val="IdentRiesgo"/>
      <sheetName val="DefRiesgoCorrup"/>
      <sheetName val="ImpactoRiesgoCorrup 1"/>
      <sheetName val="ImpactoRiesgoCorrup 2"/>
      <sheetName val="AnálisisRiesgo"/>
      <sheetName val="EvaluaciónRiesgoCorrup 1"/>
      <sheetName val="EvaluaciónRiesgoCorrup 2"/>
      <sheetName val="EvaluaciónRiesgoGestión"/>
      <sheetName val="MapaRiesgos,"/>
      <sheetName val="Anterior"/>
      <sheetName val="MapaRiesgos Gest Recursos Físic"/>
    </sheetNames>
    <sheetDataSet>
      <sheetData sheetId="0"/>
      <sheetData sheetId="1">
        <row r="2">
          <cell r="B2" t="str">
            <v>Gestión de Recursos Físicos</v>
          </cell>
        </row>
        <row r="3">
          <cell r="B3" t="str">
            <v>Brindar el apoyo logístico mediante el suministro de materiales, equipos, elementos y servicios con el fin de proporcionar un ambiente adecuado de trabajo y satisfacer las necesidades de bienes y servicios requeridos para el excelente funcionamiento del IDEAM</v>
          </cell>
        </row>
      </sheetData>
      <sheetData sheetId="2"/>
      <sheetData sheetId="3"/>
      <sheetData sheetId="4"/>
      <sheetData sheetId="5">
        <row r="9">
          <cell r="B9">
            <v>0</v>
          </cell>
        </row>
      </sheetData>
      <sheetData sheetId="6">
        <row r="11">
          <cell r="F11">
            <v>85</v>
          </cell>
        </row>
      </sheetData>
      <sheetData sheetId="7"/>
      <sheetData sheetId="8"/>
      <sheetData sheetId="9"/>
      <sheetData sheetId="10"/>
      <sheetData sheetId="1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sheetName val="IdentRiesgo"/>
      <sheetName val="DefRiesgoCorrup"/>
      <sheetName val="ImpactoRiesgoCorrup R1"/>
      <sheetName val="ImpactoRiesgoCorrup R2"/>
      <sheetName val="AnálisisRiesgo"/>
      <sheetName val="Evalaucion Riesgo R1"/>
      <sheetName val="Evalaucion Riesgo R2"/>
      <sheetName val="EvaluaciónRiesgoGestión"/>
      <sheetName val="MapaRiesgos,"/>
      <sheetName val="Anterior"/>
      <sheetName val="MapaRiesgos Gest Des Talento H"/>
    </sheetNames>
    <sheetDataSet>
      <sheetData sheetId="0"/>
      <sheetData sheetId="1">
        <row r="2">
          <cell r="B2" t="str">
            <v>Gestion del Desarrollo del Talento Humano</v>
          </cell>
        </row>
        <row r="3">
          <cell r="B3" t="str">
            <v xml:space="preserve">Administrar y promover el desarrollo integral del talento humano de la Entidad, a través de la implementación de políticas, planes, programas y acciones que fortalezcan la calidad de vida laboral de los trabajadores y garanticen una mejor prestación de los servicios que ofrece el IDEAM. </v>
          </cell>
        </row>
      </sheetData>
      <sheetData sheetId="2"/>
      <sheetData sheetId="3"/>
      <sheetData sheetId="4"/>
      <sheetData sheetId="5">
        <row r="9">
          <cell r="B9">
            <v>0</v>
          </cell>
        </row>
      </sheetData>
      <sheetData sheetId="6">
        <row r="11">
          <cell r="F11">
            <v>85</v>
          </cell>
        </row>
      </sheetData>
      <sheetData sheetId="7">
        <row r="11">
          <cell r="F11">
            <v>50</v>
          </cell>
        </row>
      </sheetData>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sheetName val="IdentRiesgo"/>
      <sheetName val="DefRiesgoCorrup"/>
      <sheetName val="ImpactoRiesgoCorrup"/>
      <sheetName val="AnálisisRiesgo"/>
      <sheetName val="EvaluaciónRiesgoCorrup"/>
      <sheetName val="EvaluaciónRiesgoGestión"/>
      <sheetName val="MapaRiesgos,"/>
      <sheetName val="Anterior"/>
      <sheetName val="MapaRiesgos Gest Planeación"/>
    </sheetNames>
    <sheetDataSet>
      <sheetData sheetId="0"/>
      <sheetData sheetId="1">
        <row r="2">
          <cell r="B2" t="str">
            <v>Gestión de la Planeación</v>
          </cell>
        </row>
        <row r="3">
          <cell r="B3" t="str">
            <v xml:space="preserve">Coordinar la formulación y hacer el seguimiento de los instrumentos de planeación necesarios para contribuir al cumplimiento de la misión institucional en el marco de las políticas vigentes. </v>
          </cell>
        </row>
      </sheetData>
      <sheetData sheetId="2"/>
      <sheetData sheetId="3"/>
      <sheetData sheetId="4">
        <row r="9">
          <cell r="B9">
            <v>0</v>
          </cell>
        </row>
      </sheetData>
      <sheetData sheetId="5">
        <row r="11">
          <cell r="F11">
            <v>85</v>
          </cell>
        </row>
      </sheetData>
      <sheetData sheetId="6"/>
      <sheetData sheetId="7"/>
      <sheetData sheetId="8"/>
      <sheetData sheetId="9"/>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final"/>
      <sheetName val="ContextEstratégico"/>
      <sheetName val="IdentificaciónRiesgos"/>
      <sheetName val="DefiniciónRiesgos"/>
      <sheetName val="ImpactoRiesgoCorrupción"/>
      <sheetName val="AnálisisRiesgos"/>
      <sheetName val="EvaluaciónRiesgos"/>
      <sheetName val="MapaRiesgos,"/>
      <sheetName val="Anterior"/>
      <sheetName val="MapaRiesgos"/>
    </sheetNames>
    <sheetDataSet>
      <sheetData sheetId="0" refreshError="1"/>
      <sheetData sheetId="1" refreshError="1"/>
      <sheetData sheetId="2">
        <row r="6">
          <cell r="A6" t="str">
            <v xml:space="preserve">1. Abuso extralimitación de las funciones
2. Incumplimiento del procedimiento
establecido para la selección de personal. 
3. Incumplimiento de los requisitos para la posesión establecidos por la norma.
</v>
          </cell>
          <cell r="B6" t="str">
            <v xml:space="preserve">Uso del poder para la vinculación de personal que no cumple los requisitos establecidos en el manual especifico de funciones.     </v>
          </cell>
          <cell r="C6" t="str">
            <v>Realizar posesiones o encargos sin cumplir con los requisitos establecidos en el Manual de Funciones y de Competencias; o sin que se surta el procedimiento establecido por Ley para la provisión de empleos de carrera administrativa y de libre nombramiento.</v>
          </cell>
          <cell r="D6" t="str">
            <v>1. Investigaciones de los organismos de control.
2. Falta de credibilidad en los procesos de la Entidad.
3.Sanciones disciplinarias, fiscales y/o penales.</v>
          </cell>
        </row>
        <row r="8">
          <cell r="A8" t="str">
            <v xml:space="preserve">
 1. Desconocimiento de las normas y del procedimiento       
2. Error en la parametrización de los conceptos salariales y de descuentos para la liquidación de nómina    
3. Fallas en el aplicativo PERNO del Sistema de Personal y Nómina del Instituto.
4. Demoras en el trámite de los actos administrativos. 
5.. Que los datos incluidos en la nómina no correspondan al soporte enviado o al funcionario, y se genere un error en el valor cancelado mensual.
6. Error humano
</v>
          </cell>
          <cell r="B8" t="str">
            <v xml:space="preserve">Manipulación en la liquidación de la nómina e inconsistencia en la información de novedades de personal. </v>
          </cell>
          <cell r="C8" t="str">
            <v xml:space="preserve">Omitir o registrar inoportuna y/o incorrectamente cualquier novedad relacionada con los funcionarios del Instituto en el Sistema PERNO </v>
          </cell>
          <cell r="D8" t="str">
            <v xml:space="preserve">    
 1. Investigaciones disciplinarias  
 2. Demandas y sanciones disciplinarias  
3. Pagos indebidos  
4. Afectación de la imagen de la entidad
 5. Peticiones, quejas, reclamos y derechos por parte de los afectados
6. Detrimento patrimonial</v>
          </cell>
        </row>
      </sheetData>
      <sheetData sheetId="3">
        <row r="4">
          <cell r="A4" t="str">
            <v>Realizar posesiones o encargos sin cumplir con los requisitos establecidos en el Manual de Funciones y de Competencias; o sin que se surta el procedimiento establecido por Ley para la provisión de empleos de carrera administrativa y de libre nombramiento.</v>
          </cell>
          <cell r="B4" t="str">
            <v>x</v>
          </cell>
          <cell r="C4" t="str">
            <v>x</v>
          </cell>
          <cell r="D4" t="str">
            <v>x</v>
          </cell>
          <cell r="E4" t="str">
            <v>X</v>
          </cell>
          <cell r="F4" t="str">
            <v>RIESGO DE CORRUPCIÓN</v>
          </cell>
        </row>
        <row r="5">
          <cell r="A5" t="str">
            <v xml:space="preserve">Prestámo de las Historias Laborales,  Emisión de documentos irregulares,  con información incorrecta en beneficio de un tercero. </v>
          </cell>
          <cell r="E5" t="str">
            <v>X</v>
          </cell>
          <cell r="F5" t="str">
            <v>RIESGO DE CORRUPCIÓN</v>
          </cell>
        </row>
        <row r="6">
          <cell r="A6" t="str">
            <v xml:space="preserve">Omitir o registrar inoportuna y/o incorrectamente cualquier novedad relacionada con los funcionarios del Instituto en el Sistema PERNO </v>
          </cell>
          <cell r="B6" t="str">
            <v>x</v>
          </cell>
          <cell r="C6" t="str">
            <v>x</v>
          </cell>
          <cell r="D6" t="str">
            <v>x</v>
          </cell>
          <cell r="E6" t="str">
            <v>X</v>
          </cell>
          <cell r="F6" t="str">
            <v>RIESGO DE CORRUPCIÓN</v>
          </cell>
        </row>
        <row r="7">
          <cell r="A7" t="str">
            <v>Se puede llegar a presentar Incumplimiento de los planes institucionales de bienestar e incentivos, capacitación y/o sistema de seguridad y salud en el trabajo, dirigidos a los servidores públicos de la entidad.</v>
          </cell>
          <cell r="F7" t="str">
            <v>RIESGO DE GESTIÓN</v>
          </cell>
        </row>
        <row r="8">
          <cell r="A8" t="str">
            <v xml:space="preserve">Se puede llegar a presentar la eventualidad de que el  jefe inmediato y el funcionario no generen el proceso de evaluación dentro de las fechas establecidas.
</v>
          </cell>
          <cell r="F8" t="str">
            <v>RIESGO DE GESTIÓN</v>
          </cell>
        </row>
        <row r="9">
          <cell r="A9" t="str">
            <v>El proceso de los Acuerdos de Gestión no cumpla con los lineamientos, términos y
condiciones establecidos en la normatividad vigente sobre la materia y el procedimiento
establecido por la entidad para tal fin.</v>
          </cell>
          <cell r="B9" t="str">
            <v>x</v>
          </cell>
          <cell r="F9" t="str">
            <v>RIESGO DE GESTIÓN</v>
          </cell>
        </row>
      </sheetData>
      <sheetData sheetId="4" refreshError="1"/>
      <sheetData sheetId="5">
        <row r="9">
          <cell r="C9" t="str">
            <v>X</v>
          </cell>
          <cell r="H9" t="str">
            <v>X</v>
          </cell>
          <cell r="L9" t="str">
            <v/>
          </cell>
          <cell r="M9" t="str">
            <v>X</v>
          </cell>
        </row>
        <row r="11">
          <cell r="C11" t="str">
            <v>X</v>
          </cell>
          <cell r="H11" t="str">
            <v>X</v>
          </cell>
          <cell r="L11" t="str">
            <v/>
          </cell>
          <cell r="M11" t="str">
            <v>X</v>
          </cell>
        </row>
      </sheetData>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sheetName val="IdentRiesgo"/>
      <sheetName val="DefRiesgoCorrup"/>
      <sheetName val="ImpactoRiesgoCorrupR1"/>
      <sheetName val="ImpactoRiesgoCorrupR2"/>
      <sheetName val="AnálisisRiesgo"/>
      <sheetName val="EvaluaciónRiesgoCorrupR1"/>
      <sheetName val="EvaluaciónRiesgoCorrupR2"/>
      <sheetName val="MapaRiesgos,"/>
      <sheetName val="Anterior"/>
      <sheetName val="EvaluaciónRiesgoGestión"/>
      <sheetName val="MapaRiesgo Gest Cont Discip Int"/>
    </sheetNames>
    <sheetDataSet>
      <sheetData sheetId="0"/>
      <sheetData sheetId="1">
        <row r="2">
          <cell r="B2" t="str">
            <v>Gestión de Control Disciplinario Interno</v>
          </cell>
        </row>
        <row r="3">
          <cell r="B3" t="str">
            <v>Investigar y fallar sobre presuntas conductas de los servidores públicos del Instituto de conformidad con las disposiciones establecidas en el Código Disciplinario Único y normas concordantes</v>
          </cell>
        </row>
      </sheetData>
      <sheetData sheetId="2"/>
      <sheetData sheetId="3"/>
      <sheetData sheetId="4"/>
      <sheetData sheetId="5">
        <row r="9">
          <cell r="B9">
            <v>0</v>
          </cell>
        </row>
      </sheetData>
      <sheetData sheetId="6">
        <row r="11">
          <cell r="F11">
            <v>85</v>
          </cell>
        </row>
      </sheetData>
      <sheetData sheetId="7"/>
      <sheetData sheetId="8"/>
      <sheetData sheetId="9"/>
      <sheetData sheetId="10"/>
      <sheetData sheetId="1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sheetName val="IdentificaciónRiesgos"/>
      <sheetName val="DefiniciónRiesgos"/>
      <sheetName val="ImpactoRiesgoCorrupción"/>
      <sheetName val="AnálisisRiesgos"/>
      <sheetName val="EvaluaciónRiesgos"/>
      <sheetName val="MapaRiesgos,"/>
      <sheetName val="Anterior"/>
      <sheetName val="MapaRiesgos"/>
    </sheetNames>
    <sheetDataSet>
      <sheetData sheetId="0"/>
      <sheetData sheetId="1">
        <row r="7">
          <cell r="A7" t="str">
            <v xml:space="preserve">Falta de ética y profesionalismo del funcionario instructor. </v>
          </cell>
          <cell r="B7" t="str">
            <v xml:space="preserve">Proyectar fallo contrario a las evidencias  que constituyen el acervo probatorio recaudado para favorecer al indagado o al investigado. </v>
          </cell>
          <cell r="C7" t="str">
            <v xml:space="preserve">Proyectar fallo en forma contraria a las pruebas que obran dentro de cada proceso con el fin de favorecer al indagado o al investigado </v>
          </cell>
          <cell r="D7" t="str">
            <v xml:space="preserve"> Causal de Nulidad (Artículo 143 No. 3 del CDU). Pérdida de credibilidad del grupo y actuación disciplinaria por parte de la PGN. </v>
          </cell>
        </row>
      </sheetData>
      <sheetData sheetId="2">
        <row r="4">
          <cell r="A4" t="str">
            <v>Decretar de oficio nulidades o prescripción de la acción disciplinaria en los procesos adelantados por el grupo</v>
          </cell>
          <cell r="B4" t="str">
            <v>X</v>
          </cell>
          <cell r="C4" t="str">
            <v>X</v>
          </cell>
          <cell r="D4" t="str">
            <v>X</v>
          </cell>
          <cell r="E4">
            <v>0</v>
          </cell>
          <cell r="F4" t="str">
            <v>RIESGO DE GESTIÓN</v>
          </cell>
        </row>
        <row r="5">
          <cell r="A5" t="str">
            <v xml:space="preserve">Proyectar fallo en forma contraria a las pruebas que obran dentro de cada proceso con el fin de favorecer al indagado o al investigado </v>
          </cell>
          <cell r="B5" t="str">
            <v>X</v>
          </cell>
          <cell r="C5" t="str">
            <v>X</v>
          </cell>
          <cell r="D5" t="str">
            <v>X</v>
          </cell>
          <cell r="E5" t="str">
            <v>X</v>
          </cell>
          <cell r="F5" t="str">
            <v>RIESGO DE CORRUPCIÓN</v>
          </cell>
        </row>
        <row r="6">
          <cell r="A6" t="str">
            <v>En caso de darse algunas de las causales contenidas en el Art. 84 del CDU, el servidor público que este adelantando la actuación disciplinaria ó que le competa fallar la misma, deberá declararse impedido</v>
          </cell>
          <cell r="B6" t="str">
            <v>X</v>
          </cell>
          <cell r="C6" t="str">
            <v>X</v>
          </cell>
          <cell r="D6" t="str">
            <v>X</v>
          </cell>
          <cell r="E6" t="str">
            <v>X</v>
          </cell>
          <cell r="F6" t="str">
            <v>RIESGO DE CORRUPCIÓN</v>
          </cell>
        </row>
        <row r="7">
          <cell r="A7" t="str">
            <v>, so pena de incurrir  en Falta Disciplinaria Gravísima.</v>
          </cell>
          <cell r="B7">
            <v>0</v>
          </cell>
          <cell r="C7">
            <v>0</v>
          </cell>
          <cell r="D7">
            <v>0</v>
          </cell>
          <cell r="E7">
            <v>0</v>
          </cell>
          <cell r="F7" t="str">
            <v>RIESGO DE GESTIÓN</v>
          </cell>
        </row>
        <row r="8">
          <cell r="A8" t="str">
            <v/>
          </cell>
          <cell r="B8">
            <v>0</v>
          </cell>
          <cell r="C8">
            <v>0</v>
          </cell>
          <cell r="D8">
            <v>0</v>
          </cell>
          <cell r="E8">
            <v>0</v>
          </cell>
          <cell r="F8" t="str">
            <v/>
          </cell>
        </row>
        <row r="9">
          <cell r="A9" t="str">
            <v/>
          </cell>
          <cell r="B9">
            <v>0</v>
          </cell>
          <cell r="C9">
            <v>0</v>
          </cell>
          <cell r="D9">
            <v>0</v>
          </cell>
          <cell r="E9">
            <v>0</v>
          </cell>
          <cell r="F9" t="str">
            <v/>
          </cell>
        </row>
      </sheetData>
      <sheetData sheetId="3"/>
      <sheetData sheetId="4">
        <row r="10">
          <cell r="B10">
            <v>0</v>
          </cell>
          <cell r="C10">
            <v>0</v>
          </cell>
          <cell r="D10">
            <v>0</v>
          </cell>
          <cell r="E10">
            <v>0</v>
          </cell>
          <cell r="F10" t="str">
            <v>X</v>
          </cell>
          <cell r="G10">
            <v>0</v>
          </cell>
          <cell r="H10">
            <v>0</v>
          </cell>
          <cell r="I10" t="str">
            <v>X</v>
          </cell>
          <cell r="J10">
            <v>0</v>
          </cell>
          <cell r="L10" t="str">
            <v/>
          </cell>
          <cell r="M10" t="str">
            <v>X</v>
          </cell>
        </row>
      </sheetData>
      <sheetData sheetId="5"/>
      <sheetData sheetId="6"/>
      <sheetData sheetId="7"/>
      <sheetData sheetId="8"/>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sheetName val="IdentificaciónRiesgos"/>
      <sheetName val="DefiniciónRiesgos"/>
      <sheetName val="ImpactoRiesgoCorrupción"/>
      <sheetName val="AnálisisRiesgos"/>
      <sheetName val="EvaluaciónRiesgos"/>
      <sheetName val="MapaRiesgos,"/>
      <sheetName val="Anterior"/>
      <sheetName val="MapaRiesgos"/>
    </sheetNames>
    <sheetDataSet>
      <sheetData sheetId="0"/>
      <sheetData sheetId="1">
        <row r="8">
          <cell r="A8" t="str">
            <v xml:space="preserve">Falta de ética y profesionalismo del funcionario instructor ó de la Primera Instancia Disciplinaria según el caso.   </v>
          </cell>
          <cell r="B8" t="str">
            <v>No declararse impedido cuando exista el deber jurídico de hacerlo, con el ánimo de favorecer  a los sujetos procesales.</v>
          </cell>
          <cell r="C8" t="str">
            <v>En caso de darse algunas de las causales contenidas en el Art. 84 del CDU, el servidor público que este adelantando la actuación disciplinaria ó que le competa fallar la misma, deberá declararse impedido</v>
          </cell>
          <cell r="D8" t="str">
            <v xml:space="preserve">Incursión en Falta Disciplinaria Gravísima, al tenor de lo previsto en el Art. 48 No. 17 del CDU. </v>
          </cell>
        </row>
      </sheetData>
      <sheetData sheetId="2">
        <row r="4">
          <cell r="A4" t="str">
            <v>Decretar de oficio nulidades o prescripción de la acción disciplinaria en los procesos adelantados por el grupo</v>
          </cell>
          <cell r="B4">
            <v>0</v>
          </cell>
          <cell r="C4">
            <v>0</v>
          </cell>
          <cell r="D4">
            <v>0</v>
          </cell>
          <cell r="E4">
            <v>0</v>
          </cell>
          <cell r="F4" t="str">
            <v>RIESGO DE GESTIÓN</v>
          </cell>
        </row>
        <row r="5">
          <cell r="A5" t="str">
            <v xml:space="preserve">Proyectar fallo en forma contraria a las pruebas que obran dentro de cada proceso con el fin de favorecer al indagado o al investigado </v>
          </cell>
          <cell r="B5" t="str">
            <v>X</v>
          </cell>
          <cell r="C5" t="str">
            <v>X</v>
          </cell>
          <cell r="D5" t="str">
            <v>X</v>
          </cell>
          <cell r="E5" t="str">
            <v>X</v>
          </cell>
          <cell r="F5" t="str">
            <v>RIESGO DE CORRUPCIÓN</v>
          </cell>
        </row>
        <row r="6">
          <cell r="A6" t="str">
            <v>En caso de darse algunas de las causales contenidas en el Art. 84 del CDU, el servidor público que este adelantando la actuación disciplinaria ó que le competa fallar la misma, deberá declararse impedido</v>
          </cell>
          <cell r="B6" t="str">
            <v>X</v>
          </cell>
          <cell r="C6" t="str">
            <v>X</v>
          </cell>
          <cell r="D6" t="str">
            <v>X</v>
          </cell>
          <cell r="E6" t="str">
            <v>X</v>
          </cell>
          <cell r="F6" t="str">
            <v>RIESGO DE CORRUPCIÓN</v>
          </cell>
        </row>
        <row r="7">
          <cell r="A7" t="str">
            <v/>
          </cell>
          <cell r="B7">
            <v>0</v>
          </cell>
          <cell r="C7">
            <v>0</v>
          </cell>
          <cell r="D7">
            <v>0</v>
          </cell>
          <cell r="E7">
            <v>0</v>
          </cell>
          <cell r="F7" t="str">
            <v/>
          </cell>
        </row>
        <row r="8">
          <cell r="A8" t="str">
            <v/>
          </cell>
          <cell r="B8">
            <v>0</v>
          </cell>
          <cell r="C8">
            <v>0</v>
          </cell>
          <cell r="D8">
            <v>0</v>
          </cell>
          <cell r="E8">
            <v>0</v>
          </cell>
          <cell r="F8" t="str">
            <v/>
          </cell>
        </row>
        <row r="9">
          <cell r="A9" t="str">
            <v/>
          </cell>
          <cell r="B9">
            <v>0</v>
          </cell>
          <cell r="C9">
            <v>0</v>
          </cell>
          <cell r="D9">
            <v>0</v>
          </cell>
          <cell r="E9">
            <v>0</v>
          </cell>
          <cell r="F9" t="str">
            <v/>
          </cell>
        </row>
      </sheetData>
      <sheetData sheetId="3"/>
      <sheetData sheetId="4">
        <row r="11">
          <cell r="B11">
            <v>0</v>
          </cell>
          <cell r="C11">
            <v>0</v>
          </cell>
          <cell r="D11">
            <v>0</v>
          </cell>
          <cell r="E11">
            <v>0</v>
          </cell>
          <cell r="F11" t="str">
            <v>X</v>
          </cell>
          <cell r="G11">
            <v>0</v>
          </cell>
          <cell r="H11">
            <v>0</v>
          </cell>
          <cell r="I11">
            <v>0</v>
          </cell>
          <cell r="J11">
            <v>0</v>
          </cell>
          <cell r="L11" t="str">
            <v/>
          </cell>
          <cell r="M11" t="str">
            <v>X</v>
          </cell>
        </row>
      </sheetData>
      <sheetData sheetId="5"/>
      <sheetData sheetId="6"/>
      <sheetData sheetId="7"/>
      <sheetData sheetId="8"/>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sheetName val="IdentRiesgo"/>
      <sheetName val="DefRiesgoCorrup"/>
      <sheetName val="ImpactoRiesgoCorrupR1"/>
      <sheetName val="ImpactoRiesgoCorrupR2"/>
      <sheetName val="ImpactoRiesgoCorrupR3"/>
      <sheetName val="ImpactoRiesgoCorrupR4"/>
      <sheetName val="AnálisisRiesgo"/>
      <sheetName val="EvaluaciónRiesgoCorrupR1"/>
      <sheetName val="EvaluaciónRiesgoCorrupR2"/>
      <sheetName val="MapaRiesgos,"/>
      <sheetName val="Anterior"/>
      <sheetName val="EvaluaciónRiesgoCorrupR3"/>
      <sheetName val="EvaluaciónRiesgoCorrupR4"/>
      <sheetName val="EvaluaciónRiesgoGestión"/>
      <sheetName val="MapaRiesgos Gest Mejoram Contin"/>
    </sheetNames>
    <sheetDataSet>
      <sheetData sheetId="0"/>
      <sheetData sheetId="1">
        <row r="2">
          <cell r="B2" t="str">
            <v>Gestión del Mejoramiento Continuo</v>
          </cell>
        </row>
        <row r="3">
          <cell r="B3" t="str">
            <v xml:space="preserve">Evaluar de forma autónoma, objetiva e independiente el funcionamiento del Sistema Integrado de Gestión del IDEAM para el cumplimiento de  los objetivos y metas, a través de la realización de auditorías, seguimientos y verificaciones a las diferentes áreas, procesos, planes y/o proyectos, formulando recomendaciones para contribuir al mejoramiento continuo y al fortalecimiento institucional </v>
          </cell>
        </row>
      </sheetData>
      <sheetData sheetId="2"/>
      <sheetData sheetId="3"/>
      <sheetData sheetId="4"/>
      <sheetData sheetId="5"/>
      <sheetData sheetId="6"/>
      <sheetData sheetId="7">
        <row r="9">
          <cell r="D9" t="str">
            <v>X</v>
          </cell>
        </row>
      </sheetData>
      <sheetData sheetId="8">
        <row r="11">
          <cell r="F11">
            <v>55</v>
          </cell>
        </row>
      </sheetData>
      <sheetData sheetId="9">
        <row r="11">
          <cell r="F11">
            <v>85</v>
          </cell>
        </row>
      </sheetData>
      <sheetData sheetId="10"/>
      <sheetData sheetId="11"/>
      <sheetData sheetId="12">
        <row r="11">
          <cell r="F11">
            <v>15</v>
          </cell>
        </row>
      </sheetData>
      <sheetData sheetId="13">
        <row r="11">
          <cell r="F11">
            <v>25</v>
          </cell>
        </row>
      </sheetData>
      <sheetData sheetId="14"/>
      <sheetData sheetId="15"/>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Package">
    <oleItems>
      <oleItem name="'" advise="1" preferPic="1"/>
    </oleItems>
  </oleLin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Package">
    <oleItems>
      <oleItem name="'" icon="1" advise="1" preferPic="1"/>
    </oleItems>
  </oleLin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Package">
    <oleItems>
      <oleItem name="'" advise="1" preferPic="1"/>
    </oleItems>
  </oleLin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Package">
    <oleItems>
      <oleItem name="'" advise="1" preferPic="1"/>
    </oleItems>
  </oleLin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2)"/>
      <sheetName val="ContextEstratégico"/>
      <sheetName val="IdentificaciónRiesgos"/>
      <sheetName val="DefiniciónRiesgos"/>
      <sheetName val="ImpactoRiesgoCorrupción"/>
      <sheetName val="AnálisisRiesgos"/>
      <sheetName val="EvaluaciónRiesgos"/>
      <sheetName val="MapaRiesgos,"/>
      <sheetName val="Anterior"/>
      <sheetName val="MapaRiesgos"/>
    </sheetNames>
    <sheetDataSet>
      <sheetData sheetId="0"/>
      <sheetData sheetId="1"/>
      <sheetData sheetId="2">
        <row r="7">
          <cell r="A7" t="str">
            <v>Intereses mutuos o recibimiento de dádivas.</v>
          </cell>
          <cell r="B7" t="str">
            <v>Aprobar CDP que no esten en el POA (Plan Operativo Anual)</v>
          </cell>
          <cell r="C7" t="str">
            <v>Aprobar CDP que no esten en el POA (Plan Operativo Anual), en beneficio a un particular</v>
          </cell>
          <cell r="D7" t="str">
            <v>1. Hallazgos en auditorias de los entes de Control. 
2. Perdida de credibilidad en la gestión de la Entidad. 
3. Detrimento patrimonial.</v>
          </cell>
        </row>
      </sheetData>
      <sheetData sheetId="3">
        <row r="4">
          <cell r="A4" t="str">
            <v>Inadecuada interpretación de los lineamientos gubernamentales y sectoriales, en los planes institucionales</v>
          </cell>
          <cell r="B4">
            <v>0</v>
          </cell>
          <cell r="C4">
            <v>0</v>
          </cell>
          <cell r="D4">
            <v>0</v>
          </cell>
          <cell r="E4">
            <v>0</v>
          </cell>
          <cell r="F4" t="str">
            <v>RIESGO DE GESTIÓN</v>
          </cell>
        </row>
        <row r="5">
          <cell r="A5" t="str">
            <v>Aprobar CDP que no esten en el POA (Plan Operativo Anual), en beneficio a un particular</v>
          </cell>
          <cell r="B5" t="str">
            <v>X</v>
          </cell>
          <cell r="C5" t="str">
            <v>X</v>
          </cell>
          <cell r="D5" t="str">
            <v>X</v>
          </cell>
          <cell r="E5" t="str">
            <v>X</v>
          </cell>
          <cell r="F5" t="str">
            <v>RIESGO DE CORRUPCIÓN</v>
          </cell>
        </row>
        <row r="6">
          <cell r="A6" t="str">
            <v/>
          </cell>
          <cell r="B6">
            <v>0</v>
          </cell>
          <cell r="C6">
            <v>0</v>
          </cell>
          <cell r="D6">
            <v>0</v>
          </cell>
          <cell r="E6">
            <v>0</v>
          </cell>
          <cell r="F6" t="str">
            <v/>
          </cell>
        </row>
        <row r="7">
          <cell r="A7" t="str">
            <v/>
          </cell>
          <cell r="B7">
            <v>0</v>
          </cell>
          <cell r="C7">
            <v>0</v>
          </cell>
          <cell r="D7">
            <v>0</v>
          </cell>
          <cell r="E7">
            <v>0</v>
          </cell>
          <cell r="F7" t="str">
            <v/>
          </cell>
        </row>
        <row r="8">
          <cell r="A8" t="str">
            <v/>
          </cell>
          <cell r="B8">
            <v>0</v>
          </cell>
          <cell r="C8">
            <v>0</v>
          </cell>
          <cell r="D8">
            <v>0</v>
          </cell>
          <cell r="E8">
            <v>0</v>
          </cell>
          <cell r="F8" t="str">
            <v/>
          </cell>
        </row>
        <row r="9">
          <cell r="A9" t="str">
            <v/>
          </cell>
          <cell r="B9">
            <v>0</v>
          </cell>
          <cell r="C9">
            <v>0</v>
          </cell>
          <cell r="D9">
            <v>0</v>
          </cell>
          <cell r="E9">
            <v>0</v>
          </cell>
          <cell r="F9" t="str">
            <v/>
          </cell>
        </row>
      </sheetData>
      <sheetData sheetId="4"/>
      <sheetData sheetId="5">
        <row r="10">
          <cell r="B10">
            <v>0</v>
          </cell>
          <cell r="C10">
            <v>0</v>
          </cell>
          <cell r="D10">
            <v>0</v>
          </cell>
          <cell r="E10">
            <v>0</v>
          </cell>
          <cell r="F10" t="str">
            <v>X</v>
          </cell>
          <cell r="G10">
            <v>0</v>
          </cell>
          <cell r="H10">
            <v>0</v>
          </cell>
          <cell r="I10">
            <v>0</v>
          </cell>
          <cell r="J10">
            <v>0</v>
          </cell>
          <cell r="L10" t="str">
            <v/>
          </cell>
          <cell r="M10" t="str">
            <v>X</v>
          </cell>
        </row>
      </sheetData>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sheetName val="IdentRiesgo"/>
      <sheetName val="DefRiesgoCorrup"/>
      <sheetName val="ImpactoRiesgoCorrup"/>
      <sheetName val="AnálisisRiesgo"/>
      <sheetName val="EvaluaciónRiesgoCorrup"/>
      <sheetName val="EvaluaciónRiesgoGestión"/>
      <sheetName val="MapaRiesgos,"/>
      <sheetName val="Anterior"/>
      <sheetName val="MapaRiesgos Gener datos e inf "/>
    </sheetNames>
    <sheetDataSet>
      <sheetData sheetId="0" refreshError="1"/>
      <sheetData sheetId="1" refreshError="1">
        <row r="2">
          <cell r="B2" t="str">
            <v>Generación de Datos e Información Hidrometeorológica y Ambiental para la toma de decisiones</v>
          </cell>
        </row>
        <row r="3">
          <cell r="B3" t="str">
            <v>Generar datos e información hidrometeorologica y ambiental que apoyen la investigación y el conocimiento como soporte para la toma de decisiones</v>
          </cell>
        </row>
      </sheetData>
      <sheetData sheetId="2" refreshError="1"/>
      <sheetData sheetId="3" refreshError="1"/>
      <sheetData sheetId="4" refreshError="1"/>
      <sheetData sheetId="5" refreshError="1">
        <row r="11">
          <cell r="F11">
            <v>85</v>
          </cell>
        </row>
      </sheetData>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sheetName val="IdentRiesgo"/>
      <sheetName val="DefRiesgoCorrup"/>
      <sheetName val="ImpactoRiesgoCorrup"/>
      <sheetName val="AnálisisRiesgo"/>
      <sheetName val="EvaluaciónRiesgoCorrup"/>
      <sheetName val="EvaluaciónRiesgoGestión"/>
      <sheetName val="MapaRiesgos,"/>
      <sheetName val="Anterior"/>
      <sheetName val="MapaRiesgos Gen Conoci e Inv "/>
    </sheetNames>
    <sheetDataSet>
      <sheetData sheetId="0" refreshError="1"/>
      <sheetData sheetId="1" refreshError="1">
        <row r="2">
          <cell r="B2" t="str">
            <v>Generación de conocimiento e investigación</v>
          </cell>
        </row>
        <row r="3">
          <cell r="B3" t="str">
            <v xml:space="preserve">Generar conocimiento e investigación sobre la dinámica de los recursos naturales y su interacción con la sociedad, para la toma de decisiones. </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sheetName val="IdentificaciónRiesgos"/>
      <sheetName val="DefiniciónRiesgos"/>
      <sheetName val="ImpactoRiesgoCorrupción"/>
      <sheetName val="AnálisisRiesgos"/>
      <sheetName val="EvaluaciónRiesgos"/>
      <sheetName val="MapaRiesgos,"/>
      <sheetName val="Anterior"/>
      <sheetName val="MapaRiesgos"/>
    </sheetNames>
    <sheetDataSet>
      <sheetData sheetId="0" refreshError="1"/>
      <sheetData sheetId="1">
        <row r="7">
          <cell r="A7" t="str">
            <v>Falta de personal idoneo para adelantar las investigaciones</v>
          </cell>
          <cell r="B7" t="str">
            <v>Suministro información hidrometeorológica y ambiental para beneficio particular.</v>
          </cell>
        </row>
      </sheetData>
      <sheetData sheetId="2"/>
      <sheetData sheetId="3" refreshError="1"/>
      <sheetData sheetId="4"/>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sheetName val="IdentificaciónRiesgos"/>
      <sheetName val="DefiniciónRiesgos"/>
      <sheetName val="ImpactoRiesgoCorrupción"/>
      <sheetName val="AnálisisRiesgos"/>
      <sheetName val="EvaluaciónRiesgos"/>
      <sheetName val="MapaRiesgos,"/>
      <sheetName val="Anterior"/>
      <sheetName val="MapaRiesgos"/>
    </sheetNames>
    <sheetDataSet>
      <sheetData sheetId="0"/>
      <sheetData sheetId="1">
        <row r="2">
          <cell r="B2" t="str">
            <v>Servicios - Acreditación de laboratorios</v>
          </cell>
        </row>
      </sheetData>
      <sheetData sheetId="2"/>
      <sheetData sheetId="3"/>
      <sheetData sheetId="4"/>
      <sheetData sheetId="5"/>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sheetName val="IdentRiesgo"/>
      <sheetName val="DefRiesgoCorrup"/>
      <sheetName val="ImpactoRiesgoCorrup"/>
      <sheetName val="AnálisisRiesgo"/>
      <sheetName val="EvaluaciónRiesgoCorrup"/>
      <sheetName val="EvaluaciónRiesgoGestión"/>
      <sheetName val="MapaRiesgos,"/>
      <sheetName val="Anterior"/>
      <sheetName val="MapaRiesgos Servicios"/>
    </sheetNames>
    <sheetDataSet>
      <sheetData sheetId="0"/>
      <sheetData sheetId="1">
        <row r="2">
          <cell r="B2" t="str">
            <v>Servicios (Laboratorio, Acreditación de laboratorios, Aeronáutica, Pronosticos, Redes).</v>
          </cell>
        </row>
        <row r="3">
          <cell r="B3" t="str">
            <v>Satisfacer las necesidades y expectativas de los usuarios y dar respuesta pertinente, confiable y oportuna de los servicios relacionados con las actividades misionales del Instituto.</v>
          </cell>
        </row>
      </sheetData>
      <sheetData sheetId="2"/>
      <sheetData sheetId="3"/>
      <sheetData sheetId="4">
        <row r="9">
          <cell r="B9">
            <v>0</v>
          </cell>
        </row>
      </sheetData>
      <sheetData sheetId="5">
        <row r="11">
          <cell r="F11">
            <v>85</v>
          </cell>
        </row>
      </sheetData>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sheetName val="IdentRiesgo"/>
      <sheetName val="DefRiesgoCorrup"/>
      <sheetName val="ImpactoRiesgoCorrup 1"/>
      <sheetName val="AnálisisRiesgo"/>
      <sheetName val="EvaluaciónRiesgoCorrup 1"/>
      <sheetName val="EvaluaciónRiesgoGestión"/>
      <sheetName val="MapaRiesgos,"/>
      <sheetName val="Anterior"/>
      <sheetName val="MapaRiesgos Atención ciudadano"/>
    </sheetNames>
    <sheetDataSet>
      <sheetData sheetId="0"/>
      <sheetData sheetId="1">
        <row r="2">
          <cell r="B2" t="str">
            <v>ATENCION AL CIUDADANO</v>
          </cell>
        </row>
        <row r="3">
          <cell r="B3" t="str">
            <v>Brindar a los usuarios internos y externos del Instituto, una atención y orientación oportuna, eficaz y eficiente, con calidad, garantizando un trato amable y el acceso efectivo a la información que genera el IDEAM.</v>
          </cell>
        </row>
      </sheetData>
      <sheetData sheetId="2"/>
      <sheetData sheetId="3"/>
      <sheetData sheetId="4">
        <row r="9">
          <cell r="B9">
            <v>0</v>
          </cell>
        </row>
      </sheetData>
      <sheetData sheetId="5">
        <row r="11">
          <cell r="F11">
            <v>100</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5.emf"/><Relationship Id="rId2" Type="http://schemas.openxmlformats.org/officeDocument/2006/relationships/drawing" Target="../drawings/drawing15.xml"/><Relationship Id="rId1" Type="http://schemas.openxmlformats.org/officeDocument/2006/relationships/printerSettings" Target="../printerSettings/printerSettings15.bin"/><Relationship Id="rId6" Type="http://schemas.openxmlformats.org/officeDocument/2006/relationships/image" Target="../media/image4.emf"/><Relationship Id="rId5" Type="http://schemas.openxmlformats.org/officeDocument/2006/relationships/image" Target="../media/image3.emf"/><Relationship Id="rId4" Type="http://schemas.openxmlformats.org/officeDocument/2006/relationships/image" Target="../media/image2.emf"/></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2"/>
  <sheetViews>
    <sheetView showGridLines="0" view="pageBreakPreview" topLeftCell="C5" zoomScaleNormal="30" zoomScaleSheetLayoutView="100" workbookViewId="0">
      <selection activeCell="F12" sqref="F12:W12"/>
    </sheetView>
  </sheetViews>
  <sheetFormatPr baseColWidth="10" defaultColWidth="11.42578125" defaultRowHeight="14.25" x14ac:dyDescent="0.25"/>
  <cols>
    <col min="1" max="1" width="41.28515625" style="2" customWidth="1"/>
    <col min="2" max="2" width="40.42578125" style="2" customWidth="1"/>
    <col min="3" max="3" width="40.42578125" style="115" customWidth="1"/>
    <col min="4" max="4" width="40.42578125" style="2" customWidth="1"/>
    <col min="5" max="5" width="40.42578125" style="115" customWidth="1"/>
    <col min="6" max="6" width="27" style="5" customWidth="1"/>
    <col min="7" max="7" width="27" style="118" customWidth="1"/>
    <col min="8" max="8" width="19" style="5" customWidth="1"/>
    <col min="9" max="9" width="19" style="118" customWidth="1"/>
    <col min="10" max="10" width="26.7109375" style="5" customWidth="1"/>
    <col min="11" max="11" width="29.7109375" style="2" customWidth="1"/>
    <col min="12" max="15" width="29.7109375" style="115" customWidth="1"/>
    <col min="16" max="16" width="21.7109375" style="115" customWidth="1"/>
    <col min="17" max="17" width="19.85546875" style="2" customWidth="1"/>
    <col min="18" max="18" width="56" style="2" customWidth="1"/>
    <col min="19" max="19" width="27" style="2" customWidth="1"/>
    <col min="20" max="20" width="26.42578125" style="5" customWidth="1"/>
    <col min="21" max="21" width="174.7109375" style="2" customWidth="1"/>
    <col min="22" max="22" width="30.42578125" style="2" customWidth="1"/>
    <col min="23" max="23" width="44.42578125" style="2" customWidth="1"/>
    <col min="24" max="24" width="30.42578125" style="2" customWidth="1"/>
    <col min="25" max="25" width="36" style="2" hidden="1" customWidth="1"/>
    <col min="26" max="26" width="0" style="2" hidden="1" customWidth="1"/>
    <col min="27" max="73" width="11.42578125" style="2" hidden="1" customWidth="1"/>
    <col min="74" max="74" width="11.42578125" style="2" customWidth="1"/>
    <col min="75" max="16384" width="11.42578125" style="2"/>
  </cols>
  <sheetData>
    <row r="1" spans="1:73" ht="21" customHeight="1" x14ac:dyDescent="0.25">
      <c r="A1" s="491"/>
      <c r="B1" s="491"/>
      <c r="C1" s="491"/>
      <c r="D1" s="491"/>
      <c r="E1" s="72"/>
      <c r="F1" s="492" t="s">
        <v>0</v>
      </c>
      <c r="G1" s="493"/>
      <c r="H1" s="493"/>
      <c r="I1" s="493"/>
      <c r="J1" s="493"/>
      <c r="K1" s="493"/>
      <c r="L1" s="493"/>
      <c r="M1" s="493"/>
      <c r="N1" s="493"/>
      <c r="O1" s="493"/>
      <c r="P1" s="493"/>
      <c r="Q1" s="493"/>
      <c r="R1" s="493"/>
      <c r="S1" s="493"/>
      <c r="T1" s="493"/>
      <c r="U1" s="494"/>
      <c r="V1" s="501" t="s">
        <v>1</v>
      </c>
      <c r="W1" s="502"/>
      <c r="X1" s="1"/>
      <c r="Y1" s="1"/>
    </row>
    <row r="2" spans="1:73" ht="22.5" customHeight="1" x14ac:dyDescent="0.25">
      <c r="A2" s="491"/>
      <c r="B2" s="491"/>
      <c r="C2" s="491"/>
      <c r="D2" s="491"/>
      <c r="E2" s="73"/>
      <c r="F2" s="495"/>
      <c r="G2" s="496"/>
      <c r="H2" s="496"/>
      <c r="I2" s="496"/>
      <c r="J2" s="496"/>
      <c r="K2" s="496"/>
      <c r="L2" s="496"/>
      <c r="M2" s="496"/>
      <c r="N2" s="496"/>
      <c r="O2" s="496"/>
      <c r="P2" s="496"/>
      <c r="Q2" s="496"/>
      <c r="R2" s="496"/>
      <c r="S2" s="496"/>
      <c r="T2" s="496"/>
      <c r="U2" s="497"/>
      <c r="V2" s="501" t="s">
        <v>162</v>
      </c>
      <c r="W2" s="502"/>
      <c r="X2" s="1"/>
      <c r="Y2" s="1"/>
    </row>
    <row r="3" spans="1:73" ht="21" customHeight="1" x14ac:dyDescent="0.25">
      <c r="A3" s="491"/>
      <c r="B3" s="491"/>
      <c r="C3" s="491"/>
      <c r="D3" s="491"/>
      <c r="E3" s="73"/>
      <c r="F3" s="495"/>
      <c r="G3" s="496"/>
      <c r="H3" s="496"/>
      <c r="I3" s="496"/>
      <c r="J3" s="496"/>
      <c r="K3" s="496"/>
      <c r="L3" s="496"/>
      <c r="M3" s="496"/>
      <c r="N3" s="496"/>
      <c r="O3" s="496"/>
      <c r="P3" s="496"/>
      <c r="Q3" s="496"/>
      <c r="R3" s="496"/>
      <c r="S3" s="496"/>
      <c r="T3" s="496"/>
      <c r="U3" s="497"/>
      <c r="V3" s="501" t="s">
        <v>163</v>
      </c>
      <c r="W3" s="502"/>
      <c r="X3" s="1"/>
      <c r="Y3" s="1"/>
    </row>
    <row r="4" spans="1:73" ht="20.25" customHeight="1" x14ac:dyDescent="0.25">
      <c r="A4" s="491"/>
      <c r="B4" s="491"/>
      <c r="C4" s="491"/>
      <c r="D4" s="491"/>
      <c r="E4" s="74"/>
      <c r="F4" s="498"/>
      <c r="G4" s="499"/>
      <c r="H4" s="499"/>
      <c r="I4" s="499"/>
      <c r="J4" s="499"/>
      <c r="K4" s="499"/>
      <c r="L4" s="499"/>
      <c r="M4" s="499"/>
      <c r="N4" s="499"/>
      <c r="O4" s="499"/>
      <c r="P4" s="499"/>
      <c r="Q4" s="499"/>
      <c r="R4" s="499"/>
      <c r="S4" s="499"/>
      <c r="T4" s="499"/>
      <c r="U4" s="500"/>
      <c r="V4" s="501" t="s">
        <v>2</v>
      </c>
      <c r="W4" s="502"/>
      <c r="X4" s="1"/>
      <c r="Y4" s="1"/>
    </row>
    <row r="5" spans="1:73" ht="8.25" customHeight="1" x14ac:dyDescent="0.25">
      <c r="B5" s="3"/>
      <c r="C5" s="116"/>
      <c r="D5" s="3"/>
      <c r="E5" s="116"/>
      <c r="F5" s="4"/>
      <c r="G5" s="117"/>
      <c r="H5" s="4"/>
      <c r="I5" s="117"/>
      <c r="J5" s="4"/>
      <c r="K5" s="4"/>
      <c r="L5" s="117"/>
      <c r="M5" s="117"/>
      <c r="N5" s="117"/>
      <c r="O5" s="117"/>
      <c r="P5" s="117"/>
      <c r="Q5" s="4"/>
      <c r="R5" s="4"/>
      <c r="X5" s="6"/>
      <c r="Y5" s="6"/>
    </row>
    <row r="6" spans="1:73" ht="15" x14ac:dyDescent="0.25">
      <c r="A6" s="471" t="s">
        <v>3</v>
      </c>
      <c r="B6" s="471"/>
      <c r="C6" s="471"/>
      <c r="D6" s="471"/>
      <c r="E6" s="75"/>
      <c r="F6" s="485" t="str">
        <f>[1]IdentRiesgo!B2</f>
        <v>GESTIÓN DE COMUNICACIONES</v>
      </c>
      <c r="G6" s="486"/>
      <c r="H6" s="486"/>
      <c r="I6" s="486"/>
      <c r="J6" s="486"/>
      <c r="K6" s="486"/>
      <c r="L6" s="486"/>
      <c r="M6" s="486"/>
      <c r="N6" s="486"/>
      <c r="O6" s="486"/>
      <c r="P6" s="486"/>
      <c r="Q6" s="486"/>
      <c r="R6" s="486"/>
      <c r="S6" s="486"/>
      <c r="T6" s="486"/>
      <c r="U6" s="486"/>
      <c r="V6" s="486"/>
      <c r="W6" s="487"/>
      <c r="X6" s="6"/>
      <c r="Y6" s="6"/>
    </row>
    <row r="7" spans="1:73" ht="6.75" customHeight="1" x14ac:dyDescent="0.25">
      <c r="B7" s="3"/>
      <c r="C7" s="116"/>
      <c r="D7" s="3"/>
      <c r="E7" s="116"/>
      <c r="F7" s="7"/>
      <c r="G7" s="121"/>
      <c r="H7" s="7"/>
      <c r="I7" s="121"/>
      <c r="J7" s="7"/>
      <c r="K7" s="7"/>
      <c r="L7" s="121"/>
      <c r="M7" s="121"/>
      <c r="N7" s="121"/>
      <c r="O7" s="121"/>
      <c r="P7" s="121"/>
      <c r="Q7" s="7"/>
      <c r="R7" s="7"/>
      <c r="S7" s="8"/>
      <c r="T7" s="8"/>
      <c r="U7" s="8"/>
      <c r="V7" s="8"/>
      <c r="W7" s="8"/>
      <c r="X7" s="6"/>
      <c r="Y7" s="6"/>
    </row>
    <row r="8" spans="1:73" ht="39.75" customHeight="1" x14ac:dyDescent="0.25">
      <c r="A8" s="471" t="s">
        <v>4</v>
      </c>
      <c r="B8" s="471"/>
      <c r="C8" s="471"/>
      <c r="D8" s="471"/>
      <c r="E8" s="75"/>
      <c r="F8" s="488" t="str">
        <f>[1]IdentRiesgo!B3</f>
        <v xml:space="preserve">Diseñar, estandarizar, promover y evaluar las estrategias de comunicación interna y externa y de redes sociales del Instituto, que permitan mantener informados a los clientes y/o usuarios sobre las decisiones, acontecimientos y demás hechos de interés general, promovidos y/o organizados por la entidad.
</v>
      </c>
      <c r="G8" s="489"/>
      <c r="H8" s="489"/>
      <c r="I8" s="489"/>
      <c r="J8" s="489"/>
      <c r="K8" s="489"/>
      <c r="L8" s="489"/>
      <c r="M8" s="489"/>
      <c r="N8" s="489"/>
      <c r="O8" s="489"/>
      <c r="P8" s="489"/>
      <c r="Q8" s="489"/>
      <c r="R8" s="489"/>
      <c r="S8" s="489"/>
      <c r="T8" s="489"/>
      <c r="U8" s="489"/>
      <c r="V8" s="489"/>
      <c r="W8" s="490"/>
      <c r="X8" s="9"/>
      <c r="Y8" s="9"/>
    </row>
    <row r="9" spans="1:73" ht="6.75" customHeight="1" x14ac:dyDescent="0.25">
      <c r="B9" s="10"/>
      <c r="C9" s="119"/>
      <c r="D9" s="10"/>
      <c r="E9" s="119"/>
      <c r="F9" s="11"/>
      <c r="G9" s="122"/>
      <c r="H9" s="11"/>
      <c r="I9" s="122"/>
      <c r="J9" s="11"/>
      <c r="K9" s="11"/>
      <c r="L9" s="122"/>
      <c r="M9" s="122"/>
      <c r="N9" s="122"/>
      <c r="O9" s="122"/>
      <c r="P9" s="122"/>
      <c r="Q9" s="11"/>
      <c r="R9" s="11"/>
      <c r="S9" s="8"/>
      <c r="T9" s="8"/>
      <c r="U9" s="8"/>
      <c r="V9" s="8"/>
      <c r="W9" s="8"/>
      <c r="X9" s="6"/>
      <c r="Y9" s="6"/>
    </row>
    <row r="10" spans="1:73" ht="15" x14ac:dyDescent="0.25">
      <c r="A10" s="471" t="s">
        <v>5</v>
      </c>
      <c r="B10" s="471"/>
      <c r="C10" s="471"/>
      <c r="D10" s="471"/>
      <c r="E10" s="75"/>
      <c r="F10" s="472"/>
      <c r="G10" s="473"/>
      <c r="H10" s="473"/>
      <c r="I10" s="473"/>
      <c r="J10" s="473"/>
      <c r="K10" s="473"/>
      <c r="L10" s="473"/>
      <c r="M10" s="473"/>
      <c r="N10" s="473"/>
      <c r="O10" s="473"/>
      <c r="P10" s="473"/>
      <c r="Q10" s="473"/>
      <c r="R10" s="473"/>
      <c r="S10" s="473"/>
      <c r="T10" s="473"/>
      <c r="U10" s="473"/>
      <c r="V10" s="473"/>
      <c r="W10" s="474"/>
      <c r="X10" s="12"/>
      <c r="Y10" s="12"/>
    </row>
    <row r="11" spans="1:73" ht="5.25" customHeight="1" x14ac:dyDescent="0.25">
      <c r="B11" s="3"/>
      <c r="C11" s="116"/>
      <c r="D11" s="3"/>
      <c r="E11" s="116"/>
      <c r="F11" s="13"/>
      <c r="G11" s="141"/>
      <c r="H11" s="13"/>
      <c r="I11" s="141"/>
      <c r="J11" s="13"/>
      <c r="K11" s="13"/>
      <c r="L11" s="141"/>
      <c r="M11" s="141"/>
      <c r="N11" s="141"/>
      <c r="O11" s="141"/>
      <c r="P11" s="141"/>
      <c r="Q11" s="13"/>
      <c r="R11" s="13"/>
      <c r="S11" s="8"/>
      <c r="T11" s="8"/>
      <c r="U11" s="8"/>
      <c r="V11" s="8"/>
      <c r="W11" s="8"/>
      <c r="X11" s="6"/>
      <c r="Y11" s="6"/>
    </row>
    <row r="12" spans="1:73" ht="15" x14ac:dyDescent="0.25">
      <c r="A12" s="471" t="s">
        <v>6</v>
      </c>
      <c r="B12" s="471"/>
      <c r="C12" s="471"/>
      <c r="D12" s="471"/>
      <c r="E12" s="75"/>
      <c r="F12" s="472" t="s">
        <v>278</v>
      </c>
      <c r="G12" s="473"/>
      <c r="H12" s="473"/>
      <c r="I12" s="473"/>
      <c r="J12" s="473"/>
      <c r="K12" s="473"/>
      <c r="L12" s="473"/>
      <c r="M12" s="473"/>
      <c r="N12" s="473"/>
      <c r="O12" s="473"/>
      <c r="P12" s="473"/>
      <c r="Q12" s="473"/>
      <c r="R12" s="473"/>
      <c r="S12" s="473"/>
      <c r="T12" s="473"/>
      <c r="U12" s="473"/>
      <c r="V12" s="473"/>
      <c r="W12" s="474"/>
      <c r="X12" s="12"/>
      <c r="Y12" s="12"/>
      <c r="AB12" s="2" t="s">
        <v>7</v>
      </c>
    </row>
    <row r="13" spans="1:73" ht="15.75" thickBot="1" x14ac:dyDescent="0.3">
      <c r="B13" s="3"/>
      <c r="C13" s="116"/>
      <c r="D13" s="3"/>
      <c r="E13" s="116"/>
      <c r="F13" s="14"/>
      <c r="G13" s="123"/>
      <c r="H13" s="15"/>
      <c r="I13" s="120"/>
      <c r="J13" s="15"/>
      <c r="K13" s="7"/>
      <c r="L13" s="121"/>
      <c r="M13" s="121"/>
      <c r="N13" s="121"/>
      <c r="O13" s="121"/>
      <c r="P13" s="121"/>
      <c r="Q13" s="7"/>
      <c r="R13" s="7"/>
      <c r="S13" s="7"/>
      <c r="T13" s="15"/>
      <c r="U13" s="7"/>
      <c r="X13" s="6"/>
      <c r="Y13" s="6"/>
      <c r="AB13" s="2" t="s">
        <v>8</v>
      </c>
      <c r="AH13" s="475" t="s">
        <v>9</v>
      </c>
      <c r="AI13" s="475"/>
      <c r="AJ13" s="475"/>
      <c r="AK13" s="475"/>
      <c r="AL13" s="475"/>
      <c r="AM13" s="475"/>
      <c r="AN13" s="475"/>
      <c r="AO13" s="475"/>
      <c r="AP13" s="475"/>
      <c r="AQ13" s="475"/>
      <c r="AR13" s="475"/>
      <c r="AS13" s="475"/>
      <c r="AT13" s="475"/>
      <c r="AU13" s="475"/>
      <c r="AV13" s="475"/>
      <c r="AW13" s="475"/>
      <c r="AX13" s="475"/>
      <c r="AY13" s="475"/>
      <c r="AZ13" s="475"/>
      <c r="BB13" s="475" t="s">
        <v>10</v>
      </c>
      <c r="BC13" s="475"/>
      <c r="BD13" s="475"/>
      <c r="BE13" s="475"/>
      <c r="BF13" s="475"/>
      <c r="BG13" s="475"/>
      <c r="BH13" s="475"/>
      <c r="BI13" s="475"/>
      <c r="BJ13" s="475"/>
      <c r="BK13" s="475"/>
      <c r="BL13" s="475"/>
      <c r="BM13" s="475"/>
      <c r="BN13" s="475"/>
      <c r="BO13" s="475"/>
      <c r="BP13" s="475"/>
      <c r="BQ13" s="475"/>
      <c r="BR13" s="475"/>
      <c r="BS13" s="475"/>
      <c r="BT13" s="475"/>
      <c r="BU13" s="475"/>
    </row>
    <row r="14" spans="1:73" s="17" customFormat="1" ht="15" customHeight="1" x14ac:dyDescent="0.25">
      <c r="A14" s="476" t="s">
        <v>11</v>
      </c>
      <c r="B14" s="477"/>
      <c r="C14" s="477"/>
      <c r="D14" s="478"/>
      <c r="E14" s="76"/>
      <c r="F14" s="479" t="s">
        <v>12</v>
      </c>
      <c r="G14" s="479"/>
      <c r="H14" s="479"/>
      <c r="I14" s="136"/>
      <c r="J14" s="16"/>
      <c r="K14" s="480" t="s">
        <v>13</v>
      </c>
      <c r="L14" s="290"/>
      <c r="M14" s="290"/>
      <c r="N14" s="290"/>
      <c r="O14" s="290"/>
      <c r="P14" s="278"/>
      <c r="Q14" s="483" t="s">
        <v>15</v>
      </c>
      <c r="R14" s="483"/>
      <c r="S14" s="483"/>
      <c r="T14" s="483" t="s">
        <v>16</v>
      </c>
      <c r="U14" s="483"/>
      <c r="V14" s="483"/>
      <c r="W14" s="483"/>
    </row>
    <row r="15" spans="1:73" s="17" customFormat="1" ht="14.25" customHeight="1" x14ac:dyDescent="0.25">
      <c r="A15" s="481" t="s">
        <v>17</v>
      </c>
      <c r="B15" s="481" t="s">
        <v>18</v>
      </c>
      <c r="C15" s="279" t="s">
        <v>77</v>
      </c>
      <c r="D15" s="481" t="s">
        <v>19</v>
      </c>
      <c r="E15" s="279"/>
      <c r="F15" s="461" t="s">
        <v>20</v>
      </c>
      <c r="G15" s="461"/>
      <c r="H15" s="461"/>
      <c r="I15" s="275"/>
      <c r="J15" s="54"/>
      <c r="K15" s="481"/>
      <c r="L15" s="291"/>
      <c r="M15" s="291"/>
      <c r="N15" s="291"/>
      <c r="O15" s="291"/>
      <c r="P15" s="277"/>
      <c r="Q15" s="466" t="s">
        <v>22</v>
      </c>
      <c r="R15" s="467"/>
      <c r="S15" s="468"/>
      <c r="T15" s="461" t="s">
        <v>23</v>
      </c>
      <c r="U15" s="461" t="s">
        <v>24</v>
      </c>
      <c r="V15" s="461" t="s">
        <v>5</v>
      </c>
      <c r="W15" s="461" t="s">
        <v>25</v>
      </c>
    </row>
    <row r="16" spans="1:73" s="17" customFormat="1" ht="63" customHeight="1" thickBot="1" x14ac:dyDescent="0.3">
      <c r="A16" s="484"/>
      <c r="B16" s="484"/>
      <c r="C16" s="281"/>
      <c r="D16" s="484"/>
      <c r="E16" s="281" t="s">
        <v>78</v>
      </c>
      <c r="F16" s="54" t="s">
        <v>26</v>
      </c>
      <c r="G16" s="275" t="s">
        <v>77</v>
      </c>
      <c r="H16" s="54" t="s">
        <v>10</v>
      </c>
      <c r="I16" s="275" t="s">
        <v>77</v>
      </c>
      <c r="J16" s="54" t="s">
        <v>27</v>
      </c>
      <c r="K16" s="482"/>
      <c r="L16" s="280" t="s">
        <v>79</v>
      </c>
      <c r="M16" s="280" t="s">
        <v>26</v>
      </c>
      <c r="N16" s="280" t="s">
        <v>10</v>
      </c>
      <c r="O16" s="280" t="s">
        <v>27</v>
      </c>
      <c r="P16" s="281" t="s">
        <v>81</v>
      </c>
      <c r="Q16" s="54" t="s">
        <v>28</v>
      </c>
      <c r="R16" s="54" t="s">
        <v>24</v>
      </c>
      <c r="S16" s="54" t="s">
        <v>29</v>
      </c>
      <c r="T16" s="461"/>
      <c r="U16" s="461"/>
      <c r="V16" s="461"/>
      <c r="W16" s="461"/>
    </row>
    <row r="17" spans="1:71" ht="409.5" customHeight="1" x14ac:dyDescent="0.25">
      <c r="A17" s="21" t="str">
        <f>[1]IdentRiesgo!A6</f>
        <v xml:space="preserve">Obetenr algun beneficio personal o dinero adicional, con la información técnico científica que genera el Instituto.
                                                                                                                                                                                                                                                                                                                                                                                                                                                                                                  </v>
      </c>
      <c r="B17" s="21" t="str">
        <f>[1]IdentRiesgo!B6</f>
        <v>Utilizar indebidamente la información noticiosa previo a su publicación en los diferentes canales como la Web, el Twitter o el Facebook de la Entidad.</v>
      </c>
      <c r="C17" s="282" t="s">
        <v>188</v>
      </c>
      <c r="D17" s="283" t="s">
        <v>189</v>
      </c>
      <c r="E17" s="284" t="s">
        <v>89</v>
      </c>
      <c r="F17" s="285">
        <v>3</v>
      </c>
      <c r="G17" s="286" t="s">
        <v>83</v>
      </c>
      <c r="H17" s="287">
        <v>10</v>
      </c>
      <c r="I17" s="288" t="s">
        <v>84</v>
      </c>
      <c r="J17" s="23" t="str">
        <f>CONCATENATE(Y17,Z17,AA17,AB17,AC17)</f>
        <v xml:space="preserve">  A  </v>
      </c>
      <c r="K17" s="289" t="s">
        <v>72</v>
      </c>
      <c r="L17" s="292"/>
      <c r="M17" s="469" t="s">
        <v>10</v>
      </c>
      <c r="N17" s="470"/>
      <c r="O17" s="293" t="s">
        <v>41</v>
      </c>
      <c r="P17" s="294" t="s">
        <v>97</v>
      </c>
      <c r="Q17" s="295" t="s">
        <v>30</v>
      </c>
      <c r="R17" s="24" t="s">
        <v>73</v>
      </c>
      <c r="S17" s="296" t="s">
        <v>190</v>
      </c>
      <c r="T17" s="297"/>
      <c r="U17" s="299"/>
      <c r="V17" s="361" t="s">
        <v>277</v>
      </c>
      <c r="W17" s="239"/>
      <c r="Y17" s="26" t="str">
        <f>IF(AND(F17=1,H17=5),$H$23,IF(AND(F17=1,H17=10),$J$23,IF(AND(F17=1,H17=20),$K$23," ")))</f>
        <v xml:space="preserve"> </v>
      </c>
      <c r="Z17" s="26" t="str">
        <f>IF(AND(F17=2,H17=5),$H$24,IF(AND(F17=2,H17=10),$J$24,IF(AND(F17=2,H17=20),$K$24," ")))</f>
        <v xml:space="preserve"> </v>
      </c>
      <c r="AA17" s="26" t="str">
        <f>IF(AND(F17=3,H17=5),$H$25,IF(AND(F17=3,H17=10),$J$25,IF(AND(F17=3,H17=20),$K$25," ")))</f>
        <v>A</v>
      </c>
      <c r="AB17" s="26" t="str">
        <f>IF(AND(F17=4,H17=5),$H$26,IF(AND(F17=4,H17=10),$J$26,IF(AND(F17=4,H17=20),$K$26," ")))</f>
        <v xml:space="preserve"> </v>
      </c>
      <c r="AC17" s="26" t="str">
        <f>IF(AND(F17=5,H17=5),$H$27,IF(AND(F17=5,H17=10),$J$27,IF(AND(F17=5,H17=20),$K$27," ")))</f>
        <v xml:space="preserve"> </v>
      </c>
      <c r="AE17" s="27" t="s">
        <v>31</v>
      </c>
      <c r="AF17" s="26" t="e">
        <f>IF(AND(#REF!&gt;0,[1]EvaluaciónRiesgoCorrupR3!$F$11&gt;75,F17=1,H17=5),$H$23,IF(AND(#REF!&gt;0,[1]EvaluaciónRiesgoCorrupR3!$F$11&gt;75,F17=1,H17=10),$J$23,IF(AND(#REF!&gt;0,[1]EvaluaciónRiesgoCorrupR3!$F$11&gt;75,F17=1,H17=20),$K$23," ")))</f>
        <v>#REF!</v>
      </c>
      <c r="AG17" s="26" t="e">
        <f>IF(AND(#REF!&gt;0,[1]EvaluaciónRiesgoCorrupR3!$F$11&gt;75,F17=2,H17=5),$H$23,IF(AND(#REF!&gt;0,[1]EvaluaciónRiesgoCorrupR3!$F$11&gt;75,F17=2,H17=10),$J$23,IF(AND(#REF!&gt;0,[1]EvaluaciónRiesgoCorrupR3!$F$11&gt;75,F17=2,H17=20),$K$23," ")))</f>
        <v>#REF!</v>
      </c>
      <c r="AH17" s="26" t="e">
        <f>IF(AND(#REF!&gt;0,[1]EvaluaciónRiesgoCorrupR3!$F$11&gt;75,F17=3,H17=5),$H$23,IF(AND(#REF!&gt;0,[1]EvaluaciónRiesgoCorrupR3!$F$11&gt;75,F17=3,H17=10),$J$23,IF(AND(#REF!&gt;0,[1]EvaluaciónRiesgoCorrupR3!$F$11&gt;75,F17=3,H17=20),$K$23," ")))</f>
        <v>#REF!</v>
      </c>
      <c r="AI17" s="26" t="e">
        <f>IF(AND(#REF!&gt;0,[1]EvaluaciónRiesgoCorrupR3!$F$11&gt;75,F17=4,H17=5),$H$24,IF(AND(#REF!&gt;0,[1]EvaluaciónRiesgoCorrupR3!$F$11&gt;75,F17=4,H17=10),$J$24,IF(AND(#REF!&gt;0,[1]EvaluaciónRiesgoCorrupR3!$F$11&gt;75,F17=4,H17=20),$K$24," ")))</f>
        <v>#REF!</v>
      </c>
      <c r="AJ17" s="26" t="e">
        <f>IF(AND(#REF!&gt;0,[1]EvaluaciónRiesgoCorrupR3!$F$11&gt;75,F17=5,H17=5),$H$25,IF(AND(#REF!&gt;0,[1]EvaluaciónRiesgoCorrupR3!$F$11&gt;75,F17=5,H17=10),$J$25,IF(AND(#REF!&gt;0,[1]EvaluaciónRiesgoCorrupR3!$F$11&gt;75,F17=5,H17=20),$K$25," ")))</f>
        <v>#REF!</v>
      </c>
      <c r="AK17" s="27" t="s">
        <v>32</v>
      </c>
      <c r="AL17" s="26" t="e">
        <f>IF(AND(#REF!&gt;0,[1]EvaluaciónRiesgoCorrupR3!$F$11&gt;50,[1]EvaluaciónRiesgoCorrupR3!$F$11&lt;76,F17=1,H17=5),$H$23,IF(AND(#REF!&gt;0,[1]EvaluaciónRiesgoCorrupR3!$F$11&gt;50,[1]EvaluaciónRiesgoCorrupR3!$F$11&lt;76,F17=1,H17=10),$J$23,IF(AND(#REF!&gt;0,[1]EvaluaciónRiesgoCorrupR3!$F$11&gt;50,[1]EvaluaciónRiesgoCorrupR3!$F$11&lt;76,F17=1,H17=20),$K$23," ")))</f>
        <v>#REF!</v>
      </c>
      <c r="AM17" s="26" t="e">
        <f>IF(AND(#REF!&gt;0,[1]EvaluaciónRiesgoCorrupR3!$F$11&gt;50,[1]EvaluaciónRiesgoCorrupR3!$F$11&lt;76,F17=2,H17=5),$H$23,IF(AND(#REF!&gt;0,[1]EvaluaciónRiesgoCorrupR3!$F$11&gt;50,[1]EvaluaciónRiesgoCorrupR3!$F$11&lt;76,F17=2,H17=10),$J$23,IF(AND(#REF!&gt;0,[1]EvaluaciónRiesgoCorrupR3!$F$11&gt;50,[1]EvaluaciónRiesgoCorrupR3!$F$11&lt;76,F17=2,H17=20),$K$23," ")))</f>
        <v>#REF!</v>
      </c>
      <c r="AN17" s="26" t="e">
        <f>IF(AND(#REF!&gt;0,[1]EvaluaciónRiesgoCorrupR3!$F$11&gt;50,[1]EvaluaciónRiesgoCorrupR3!$F$11&lt;76,F17=3,H17=5),$H$24,IF(AND(#REF!&gt;0,[1]EvaluaciónRiesgoCorrupR3!$F$11&gt;50,[1]EvaluaciónRiesgoCorrupR3!$F$11&lt;76,F17=3,H17=10),$J$24,IF(AND(#REF!&gt;0,[1]EvaluaciónRiesgoCorrupR3!$F$11&gt;50,[1]EvaluaciónRiesgoCorrupR3!$F$11&lt;76,F17=3,H17=20),$K$24," ")))</f>
        <v>#REF!</v>
      </c>
      <c r="AO17" s="26" t="e">
        <f>IF(AND(#REF!&gt;0,[1]EvaluaciónRiesgoCorrupR3!$F$11&gt;50,[1]EvaluaciónRiesgoCorrupR3!$F$11&lt;76,F17=4,H17=5),$H$25,IF(AND(#REF!&gt;0,[1]EvaluaciónRiesgoCorrupR3!$F$11&gt;50,[1]EvaluaciónRiesgoCorrupR3!$F$11&lt;76,F17=4,H17=10),$J$25,IF(AND(#REF!&gt;0,[1]EvaluaciónRiesgoCorrupR3!$F$11&gt;50,[1]EvaluaciónRiesgoCorrupR3!$F$11&lt;76,F17=4,H17=20),$K$25," ")))</f>
        <v>#REF!</v>
      </c>
      <c r="AP17" s="26" t="e">
        <f>IF(AND(#REF!&gt;0,[1]EvaluaciónRiesgoCorrupR3!$F$11&gt;50,[1]EvaluaciónRiesgoCorrupR3!$F$11&lt;76,F17=5,H17=5),$H$26,IF(AND(#REF!&gt;0,[1]EvaluaciónRiesgoCorrupR3!$F$11&gt;50,[1]EvaluaciónRiesgoCorrupR3!$F$11&lt;76,F17=5,H17=10),$J$26,IF(AND(#REF!&gt;0,[1]EvaluaciónRiesgoCorrupR3!$F$11&gt;50,[1]EvaluaciónRiesgoCorrupR3!$F$11&lt;76,F17=5,H17=20),$K$26," ")))</f>
        <v>#REF!</v>
      </c>
      <c r="AR17" s="27" t="s">
        <v>33</v>
      </c>
      <c r="AS17" s="26" t="e">
        <f>IF(AND(#REF!&gt;0,[1]EvaluaciónRiesgoCorrupR3!$F$11&lt;51,F17=1,H17=5),$H$23,IF(AND(#REF!&gt;0,[1]EvaluaciónRiesgoCorrupR3!$F$11&lt;51,F17=1,H17=10),$J$23,IF(AND(#REF!&gt;0,[1]EvaluaciónRiesgoCorrupR3!$F$11&lt;51,F17=1,H17=20),K$23," ")))</f>
        <v>#REF!</v>
      </c>
      <c r="AT17" s="26" t="e">
        <f>IF(AND(#REF!&gt;0,[1]EvaluaciónRiesgoCorrupR3!$F$11&lt;51,F17=2,H17=5),$H$24,IF(AND(#REF!&gt;0,[1]EvaluaciónRiesgoCorrupR3!$F$11&lt;51,F17=2,H17=10),$J$24,IF(AND(#REF!&gt;0,[1]EvaluaciónRiesgoCorrupR3!$F$11&lt;51,F17=2,H17=20),K$24," ")))</f>
        <v>#REF!</v>
      </c>
      <c r="AU17" s="26" t="e">
        <f>IF(AND(#REF!&gt;0,[1]EvaluaciónRiesgoCorrupR3!$F$11&lt;51,F17=3,H17=5),$H$25,IF(AND(#REF!&gt;0,[1]EvaluaciónRiesgoCorrupR3!$F$11&lt;51,F17=3,H17=10),$J$25,IF(AND(#REF!&gt;0,[1]EvaluaciónRiesgoCorrupR3!$F$11&lt;51,F17=3,H17=20),K$25," ")))</f>
        <v>#REF!</v>
      </c>
      <c r="AV17" s="26" t="e">
        <f>IF(AND(#REF!&gt;0,[1]EvaluaciónRiesgoCorrupR3!$F$11&lt;51,F17=4,H17=5),$H$26,IF(AND(#REF!&gt;0,[1]EvaluaciónRiesgoCorrupR3!$F$11&lt;51,F17=4,H17=10),$J$26,IF(AND(#REF!&gt;0,[1]EvaluaciónRiesgoCorrupR3!$F$11&lt;51,F17=4,H17=20),K$26," ")))</f>
        <v>#REF!</v>
      </c>
      <c r="AW17" s="26" t="e">
        <f>IF(AND(#REF!&gt;0,[1]EvaluaciónRiesgoCorrupR3!$F$11&lt;51,F17=5,H17=5),$H$27,IF(AND(#REF!&gt;0,[1]EvaluaciónRiesgoCorrupR3!$F$11&lt;51,F17=5,H17=10),$J$27,IF(AND(#REF!&gt;0,[1]EvaluaciónRiesgoCorrupR3!$F$11&lt;51,F17=5,H17=20),K$27," ")))</f>
        <v>#REF!</v>
      </c>
      <c r="AZ17" s="27" t="s">
        <v>31</v>
      </c>
      <c r="BA17" s="26" t="e">
        <f>IF(AND(#REF!&gt;0,[1]EvaluaciónRiesgoCorrupR3!$F$11&gt;75,F17=1,H17=5),$H$23,IF(AND(#REF!&gt;0,[1]EvaluaciónRiesgoCorrupR3!$F$11&gt;75,F17=1,H17=10),$H$23,IF(AND(#REF!&gt;0,[1]EvaluaciónRiesgoCorrupR3!$F$11&gt;75,F17=1,H17=20),$H$23," ")))</f>
        <v>#REF!</v>
      </c>
      <c r="BB17" s="26" t="e">
        <f>IF(AND(#REF!&gt;0,[1]EvaluaciónRiesgoCorrupR3!$F$11&gt;75,F17=2,H17=5),$H$24,IF(AND(#REF!&gt;0,[1]EvaluaciónRiesgoCorrupR3!$F$11&gt;75,F17=2,H17=10),$H$24,IF(AND(#REF!&gt;0,[1]EvaluaciónRiesgoCorrupR3!$F$11&gt;75,F17=2,H17=20),$H$24," ")))</f>
        <v>#REF!</v>
      </c>
      <c r="BC17" s="26" t="e">
        <f>IF(AND(#REF!&gt;0,[1]EvaluaciónRiesgoCorrupR3!$F$11&gt;75,F17=3,H17=5),$H$25,IF(AND(#REF!&gt;0,[1]EvaluaciónRiesgoCorrupR3!$F$11&gt;75,F17=3,H17=10),$H$25,IF(AND(#REF!&gt;0,[1]EvaluaciónRiesgoCorrupR3!$F$11&gt;75,F17=3,H17=20),$H$25," ")))</f>
        <v>#REF!</v>
      </c>
      <c r="BD17" s="26" t="e">
        <f>IF(AND(#REF!&gt;0,[1]EvaluaciónRiesgoCorrupR3!$F$11&gt;75,F17=4,H17=5),$H$26,IF(AND(#REF!&gt;0,[1]EvaluaciónRiesgoCorrupR3!$F$11&gt;75,F17=4,H17=10),$H$26,IF(AND(#REF!&gt;0,[1]EvaluaciónRiesgoCorrupR3!$F$11&gt;75,F17=4,H17=20),$H$26," ")))</f>
        <v>#REF!</v>
      </c>
      <c r="BE17" s="26" t="e">
        <f>IF(AND(#REF!&gt;0,[1]EvaluaciónRiesgoCorrupR3!$F$11&gt;75,F17=5,H17=5),$H$27,IF(AND(#REF!&gt;0,[1]EvaluaciónRiesgoCorrupR3!$F$11&gt;75,F17=5,H17=10),$H$27,IF(AND(#REF!&gt;0,[1]EvaluaciónRiesgoCorrupR3!$F$11&gt;75,F17=5,H17=20),$H$27," ")))</f>
        <v>#REF!</v>
      </c>
      <c r="BG17" s="27" t="s">
        <v>32</v>
      </c>
      <c r="BH17" s="26" t="e">
        <f>IF(AND(#REF!&gt;0,[1]EvaluaciónRiesgoCorrupR3!$F$11&gt;50,[1]EvaluaciónRiesgoCorrupR3!$F$11&lt;76,F17=1,H17=5),$H$23,IF(AND(#REF!&gt;0,[1]EvaluaciónRiesgoCorrupR3!$F$11&gt;50,[1]EvaluaciónRiesgoCorrupR3!$F$11&lt;76,F17=1,H17=10),$H$23,IF(AND(#REF!&gt;0,[1]EvaluaciónRiesgoCorrupR3!$F$11&gt;50,[1]EvaluaciónRiesgoCorrupR3!$F$11&lt;76,F17=1,H17=20),$J$23," ")))</f>
        <v>#REF!</v>
      </c>
      <c r="BI17" s="26" t="e">
        <f>IF(AND(#REF!&gt;0,[1]EvaluaciónRiesgoCorrupR3!$F$11&gt;50,[1]EvaluaciónRiesgoCorrupR3!$F$11&lt;76,F17=2,H17=5),$H$24,IF(AND(#REF!&gt;0,[1]EvaluaciónRiesgoCorrupR3!$F$11&gt;50,[1]EvaluaciónRiesgoCorrupR3!$F$11&lt;76,F17=2,H17=10),$H$24,IF(AND(#REF!&gt;0,[1]EvaluaciónRiesgoCorrupR3!$F$11&gt;50,[1]EvaluaciónRiesgoCorrupR3!$F$11&lt;76,F17=2,H17=20),$J$24," ")))</f>
        <v>#REF!</v>
      </c>
      <c r="BJ17" s="26" t="e">
        <f>IF(AND(#REF!&gt;0,[1]EvaluaciónRiesgoCorrupR3!$F$11&gt;50,[1]EvaluaciónRiesgoCorrupR3!$F$11&lt;76,F17=3,H17=5),$H$25,IF(AND(#REF!&gt;0,[1]EvaluaciónRiesgoCorrupR3!$F$11&gt;50,[1]EvaluaciónRiesgoCorrupR3!$F$11&lt;76,F17=3,H17=10),$H$25,IF(AND(#REF!&gt;0,[1]EvaluaciónRiesgoCorrupR3!$F$11&gt;50,[1]EvaluaciónRiesgoCorrupR3!$F$11&lt;76,F17=3,H17=20),$J$25," ")))</f>
        <v>#REF!</v>
      </c>
      <c r="BK17" s="26" t="e">
        <f>IF(AND(#REF!&gt;0,[1]EvaluaciónRiesgoCorrupR3!$F$11&gt;50,[1]EvaluaciónRiesgoCorrupR3!$F$11&lt;76,F17=4,H17=5),$H$26,IF(AND(#REF!&gt;0,[1]EvaluaciónRiesgoCorrupR3!$F$11&gt;50,[1]EvaluaciónRiesgoCorrupR3!$F$11&lt;76,F17=4,H17=10),$H$26,IF(AND(#REF!&gt;0,[1]EvaluaciónRiesgoCorrupR3!$F$11&gt;50,[1]EvaluaciónRiesgoCorrupR3!$F$11&lt;76,F17=4,H17=20),$J$26," ")))</f>
        <v>#REF!</v>
      </c>
      <c r="BL17" s="26" t="e">
        <f>IF(AND(#REF!&gt;0,[1]EvaluaciónRiesgoCorrupR3!$F$11&gt;50,[1]EvaluaciónRiesgoCorrupR3!$F$11&lt;76,F17=5,H17=5),$H$27,IF(AND(#REF!&gt;0,[1]EvaluaciónRiesgoCorrupR3!$F$11&gt;50,[1]EvaluaciónRiesgoCorrupR3!$F$11&lt;76,F17=5,H17=10),$H$27,IF(AND(#REF!&gt;0,[1]EvaluaciónRiesgoCorrupR3!$F$11&gt;50,[1]EvaluaciónRiesgoCorrupR3!$F$11&lt;76,F17=5,H17=20),$J$27," ")))</f>
        <v>#REF!</v>
      </c>
      <c r="BN17" s="27" t="s">
        <v>33</v>
      </c>
      <c r="BO17" s="26" t="e">
        <f>IF(AND(#REF!&gt;0,[1]EvaluaciónRiesgoCorrupR3!$F$11&lt;51,F17=1,H17=5),$H$23,IF(AND(#REF!&gt;0,[1]EvaluaciónRiesgoCorrupR3!$F$11&lt;51,F17=1,H17=10),$J$23,IF(AND(#REF!&gt;0,[1]EvaluaciónRiesgoCorrupR3!$F$11&lt;51,F17=1,H17=20),$K$23," ")))</f>
        <v>#REF!</v>
      </c>
      <c r="BP17" s="26" t="e">
        <f>IF(AND(#REF!&gt;0,[1]EvaluaciónRiesgoCorrupR3!$F$11&lt;51,F17=2,H17=5),$H$24,IF(AND(#REF!&gt;0,[1]EvaluaciónRiesgoCorrupR3!$F$11&lt;51,F17=2,H17=10),$J$24,IF(AND(#REF!&gt;0,[1]EvaluaciónRiesgoCorrupR3!$F$11&lt;51,F17=2,H17=20),$K$24," ")))</f>
        <v>#REF!</v>
      </c>
      <c r="BQ17" s="26" t="e">
        <f>IF(AND(#REF!&gt;0,[1]EvaluaciónRiesgoCorrupR3!$F$11&lt;51,F17=3,H17=5),$H$25,IF(AND(#REF!&gt;0,[1]EvaluaciónRiesgoCorrupR3!$F$11&lt;51,F17=3,H17=10),$J$25,IF(AND(#REF!&gt;0,[1]EvaluaciónRiesgoCorrupR3!$F$11&lt;51,F17=3,H17=20),$K$25," ")))</f>
        <v>#REF!</v>
      </c>
      <c r="BR17" s="26" t="e">
        <f>IF(AND(#REF!&gt;0,[1]EvaluaciónRiesgoCorrupR3!$F$11&lt;51,F17=4,H17=5),$H$26,IF(AND(#REF!&gt;0,[1]EvaluaciónRiesgoCorrupR3!$F$11&lt;51,F17=4,H17=10),$J$26,IF(AND(#REF!&gt;0,[1]EvaluaciónRiesgoCorrupR3!$F$11&lt;51,F17=4,H17=20),$K$26," ")))</f>
        <v>#REF!</v>
      </c>
      <c r="BS17" s="26" t="e">
        <f>IF(AND(#REF!&gt;0,[1]EvaluaciónRiesgoCorrupR3!$F$11&lt;51,F17=5,H17=5),$H$27,IF(AND(#REF!&gt;0,[1]EvaluaciónRiesgoCorrupR3!$F$11&lt;51,F17=5,H17=10),$J$27,IF(AND(#REF!&gt;0,[1]EvaluaciónRiesgoCorrupR3!$F$11&lt;51,F17=5,H17=20),$K$27," ")))</f>
        <v>#REF!</v>
      </c>
    </row>
    <row r="18" spans="1:71" x14ac:dyDescent="0.25">
      <c r="A18" s="53"/>
      <c r="B18" s="22"/>
      <c r="C18" s="124"/>
      <c r="D18" s="22"/>
      <c r="E18" s="78"/>
    </row>
    <row r="19" spans="1:71" x14ac:dyDescent="0.25">
      <c r="A19" s="26"/>
      <c r="B19" s="28"/>
      <c r="C19" s="126"/>
      <c r="D19" s="28"/>
      <c r="E19" s="139"/>
    </row>
    <row r="20" spans="1:71" ht="15" thickBot="1" x14ac:dyDescent="0.3">
      <c r="A20" s="26"/>
      <c r="B20" s="28"/>
      <c r="C20" s="126"/>
      <c r="D20" s="28"/>
      <c r="E20" s="139"/>
      <c r="H20" s="30"/>
      <c r="I20" s="140"/>
      <c r="J20" s="30"/>
    </row>
    <row r="21" spans="1:71" ht="15.75" thickBot="1" x14ac:dyDescent="0.3">
      <c r="A21" s="6"/>
      <c r="B21" s="31"/>
      <c r="C21" s="139"/>
      <c r="D21" s="31"/>
      <c r="E21" s="139"/>
      <c r="F21" s="462" t="s">
        <v>26</v>
      </c>
      <c r="G21" s="77"/>
      <c r="H21" s="464" t="s">
        <v>10</v>
      </c>
      <c r="I21" s="464"/>
      <c r="J21" s="464"/>
      <c r="K21" s="465"/>
      <c r="L21" s="82"/>
      <c r="M21" s="82"/>
      <c r="N21" s="82"/>
      <c r="O21" s="82"/>
      <c r="R21" s="5"/>
      <c r="T21" s="2"/>
    </row>
    <row r="22" spans="1:71" ht="32.25" customHeight="1" thickBot="1" x14ac:dyDescent="0.3">
      <c r="A22" s="5"/>
      <c r="B22" s="32" t="s">
        <v>34</v>
      </c>
      <c r="C22" s="127"/>
      <c r="D22" s="32"/>
      <c r="E22" s="127"/>
      <c r="F22" s="463"/>
      <c r="G22" s="276"/>
      <c r="H22" s="33" t="s">
        <v>35</v>
      </c>
      <c r="I22" s="128"/>
      <c r="J22" s="34" t="s">
        <v>36</v>
      </c>
      <c r="K22" s="33" t="s">
        <v>37</v>
      </c>
      <c r="L22" s="83"/>
      <c r="M22" s="83"/>
      <c r="N22" s="83"/>
      <c r="O22" s="83"/>
      <c r="R22" s="5"/>
      <c r="T22" s="2"/>
    </row>
    <row r="23" spans="1:71" ht="15.75" thickBot="1" x14ac:dyDescent="0.3">
      <c r="B23" s="5" t="s">
        <v>38</v>
      </c>
      <c r="C23" s="118"/>
      <c r="F23" s="35" t="s">
        <v>39</v>
      </c>
      <c r="G23" s="129"/>
      <c r="H23" s="36" t="s">
        <v>40</v>
      </c>
      <c r="I23" s="130"/>
      <c r="J23" s="36" t="s">
        <v>40</v>
      </c>
      <c r="K23" s="37" t="s">
        <v>41</v>
      </c>
      <c r="L23" s="84"/>
      <c r="M23" s="84"/>
      <c r="N23" s="84"/>
      <c r="O23" s="84"/>
      <c r="R23" s="5"/>
      <c r="T23" s="2"/>
    </row>
    <row r="24" spans="1:71" ht="15.75" thickBot="1" x14ac:dyDescent="0.3">
      <c r="F24" s="35" t="s">
        <v>42</v>
      </c>
      <c r="G24" s="129"/>
      <c r="H24" s="36" t="s">
        <v>40</v>
      </c>
      <c r="I24" s="130"/>
      <c r="J24" s="37" t="s">
        <v>41</v>
      </c>
      <c r="K24" s="38" t="s">
        <v>43</v>
      </c>
      <c r="L24" s="85"/>
      <c r="M24" s="85"/>
      <c r="N24" s="85"/>
      <c r="O24" s="85"/>
      <c r="R24" s="5"/>
      <c r="T24" s="2"/>
    </row>
    <row r="25" spans="1:71" ht="15.75" thickBot="1" x14ac:dyDescent="0.3">
      <c r="F25" s="35" t="s">
        <v>44</v>
      </c>
      <c r="G25" s="129"/>
      <c r="H25" s="37" t="s">
        <v>41</v>
      </c>
      <c r="I25" s="131"/>
      <c r="J25" s="38" t="s">
        <v>43</v>
      </c>
      <c r="K25" s="39" t="s">
        <v>45</v>
      </c>
      <c r="L25" s="86"/>
      <c r="M25" s="86"/>
      <c r="N25" s="86"/>
      <c r="O25" s="86"/>
      <c r="R25" s="5"/>
      <c r="T25" s="2"/>
    </row>
    <row r="26" spans="1:71" ht="15.75" thickBot="1" x14ac:dyDescent="0.3">
      <c r="F26" s="35" t="s">
        <v>46</v>
      </c>
      <c r="G26" s="129"/>
      <c r="H26" s="37" t="s">
        <v>41</v>
      </c>
      <c r="I26" s="131"/>
      <c r="J26" s="38" t="s">
        <v>43</v>
      </c>
      <c r="K26" s="39" t="s">
        <v>45</v>
      </c>
      <c r="L26" s="86"/>
      <c r="M26" s="86"/>
      <c r="N26" s="86"/>
      <c r="O26" s="86"/>
      <c r="R26" s="5"/>
      <c r="T26" s="2"/>
    </row>
    <row r="27" spans="1:71" ht="15.75" thickBot="1" x14ac:dyDescent="0.3">
      <c r="F27" s="35" t="s">
        <v>47</v>
      </c>
      <c r="G27" s="129"/>
      <c r="H27" s="37" t="s">
        <v>41</v>
      </c>
      <c r="I27" s="131"/>
      <c r="J27" s="38" t="s">
        <v>43</v>
      </c>
      <c r="K27" s="39" t="s">
        <v>45</v>
      </c>
      <c r="L27" s="86"/>
      <c r="M27" s="86"/>
      <c r="N27" s="86"/>
      <c r="O27" s="86"/>
      <c r="R27" s="5"/>
      <c r="T27" s="2"/>
    </row>
    <row r="28" spans="1:71" x14ac:dyDescent="0.25">
      <c r="F28" s="2"/>
      <c r="G28" s="115"/>
      <c r="H28" s="2"/>
      <c r="I28" s="115"/>
      <c r="J28" s="2"/>
      <c r="K28" s="5"/>
      <c r="L28" s="118"/>
      <c r="M28" s="118"/>
      <c r="N28" s="118"/>
      <c r="O28" s="118"/>
    </row>
    <row r="29" spans="1:71" ht="15" x14ac:dyDescent="0.25">
      <c r="F29" s="40" t="s">
        <v>48</v>
      </c>
      <c r="G29" s="132"/>
      <c r="H29" s="2"/>
      <c r="I29" s="115"/>
      <c r="J29" s="2"/>
      <c r="K29" s="5"/>
      <c r="L29" s="118"/>
      <c r="M29" s="118"/>
      <c r="N29" s="118"/>
      <c r="O29" s="118"/>
      <c r="P29" s="118"/>
      <c r="Q29" s="5"/>
    </row>
    <row r="30" spans="1:71" ht="15" x14ac:dyDescent="0.25">
      <c r="F30" s="41" t="s">
        <v>49</v>
      </c>
      <c r="G30" s="133"/>
      <c r="H30" s="2"/>
      <c r="I30" s="115"/>
      <c r="J30" s="2"/>
      <c r="K30" s="5"/>
      <c r="L30" s="118"/>
      <c r="M30" s="118"/>
      <c r="N30" s="118"/>
      <c r="O30" s="118"/>
      <c r="P30" s="118"/>
      <c r="Q30" s="5"/>
    </row>
    <row r="31" spans="1:71" ht="15" x14ac:dyDescent="0.25">
      <c r="F31" s="42" t="s">
        <v>50</v>
      </c>
      <c r="G31" s="134"/>
      <c r="H31" s="2"/>
      <c r="I31" s="115"/>
      <c r="J31" s="2"/>
      <c r="K31" s="5"/>
      <c r="L31" s="118"/>
      <c r="M31" s="118"/>
      <c r="N31" s="118"/>
      <c r="O31" s="118"/>
      <c r="P31" s="118"/>
      <c r="Q31" s="5"/>
    </row>
    <row r="32" spans="1:71" ht="15" x14ac:dyDescent="0.25">
      <c r="F32" s="43" t="s">
        <v>51</v>
      </c>
      <c r="G32" s="135"/>
      <c r="H32" s="2"/>
      <c r="I32" s="115"/>
      <c r="J32" s="2"/>
      <c r="K32" s="5"/>
      <c r="L32" s="118"/>
      <c r="M32" s="118"/>
      <c r="N32" s="118"/>
      <c r="O32" s="118"/>
      <c r="P32" s="118"/>
      <c r="Q32" s="5"/>
    </row>
  </sheetData>
  <mergeCells count="33">
    <mergeCell ref="A1:D4"/>
    <mergeCell ref="F1:U4"/>
    <mergeCell ref="V1:W1"/>
    <mergeCell ref="V2:W2"/>
    <mergeCell ref="V3:W3"/>
    <mergeCell ref="V4:W4"/>
    <mergeCell ref="A6:D6"/>
    <mergeCell ref="F6:W6"/>
    <mergeCell ref="A8:D8"/>
    <mergeCell ref="F8:W8"/>
    <mergeCell ref="A10:D10"/>
    <mergeCell ref="F10:W10"/>
    <mergeCell ref="A12:D12"/>
    <mergeCell ref="F12:W12"/>
    <mergeCell ref="AH13:AZ13"/>
    <mergeCell ref="BB13:BU13"/>
    <mergeCell ref="A14:D14"/>
    <mergeCell ref="F14:H14"/>
    <mergeCell ref="K14:K16"/>
    <mergeCell ref="Q14:S14"/>
    <mergeCell ref="T14:W14"/>
    <mergeCell ref="A15:A16"/>
    <mergeCell ref="B15:B16"/>
    <mergeCell ref="D15:D16"/>
    <mergeCell ref="F15:H15"/>
    <mergeCell ref="T15:T16"/>
    <mergeCell ref="U15:U16"/>
    <mergeCell ref="V15:V16"/>
    <mergeCell ref="W15:W16"/>
    <mergeCell ref="F21:F22"/>
    <mergeCell ref="H21:K21"/>
    <mergeCell ref="Q15:S15"/>
    <mergeCell ref="M17:N17"/>
  </mergeCells>
  <conditionalFormatting sqref="J17 P17">
    <cfRule type="containsText" dxfId="107" priority="9" operator="containsText" text="E">
      <formula>NOT(ISERROR(SEARCH("E",J17)))</formula>
    </cfRule>
    <cfRule type="containsText" dxfId="106" priority="10" operator="containsText" text="M">
      <formula>NOT(ISERROR(SEARCH("M",J17)))</formula>
    </cfRule>
    <cfRule type="containsText" dxfId="105" priority="11" operator="containsText" text="A">
      <formula>NOT(ISERROR(SEARCH("A",J17)))</formula>
    </cfRule>
    <cfRule type="containsText" dxfId="104" priority="12" operator="containsText" text="B">
      <formula>NOT(ISERROR(SEARCH("B",J17)))</formula>
    </cfRule>
  </conditionalFormatting>
  <dataValidations disablePrompts="1" count="2">
    <dataValidation type="list" allowBlank="1" showInputMessage="1" showErrorMessage="1" sqref="Q18:R18">
      <formula1>$J$29:$J$32</formula1>
    </dataValidation>
    <dataValidation type="list" allowBlank="1" showInputMessage="1" showErrorMessage="1" sqref="P18">
      <formula1>#REF!</formula1>
    </dataValidation>
  </dataValidations>
  <pageMargins left="0.7" right="0.7" top="0.75" bottom="0.75" header="0.3" footer="0.3"/>
  <pageSetup scale="1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32"/>
  <sheetViews>
    <sheetView showGridLines="0" view="pageBreakPreview" topLeftCell="E1" zoomScale="110" zoomScaleNormal="60" zoomScaleSheetLayoutView="110" workbookViewId="0">
      <selection activeCell="F12" sqref="F12:V12"/>
    </sheetView>
  </sheetViews>
  <sheetFormatPr baseColWidth="10" defaultColWidth="11.42578125" defaultRowHeight="14.25" x14ac:dyDescent="0.25"/>
  <cols>
    <col min="1" max="1" width="41.28515625" style="2" customWidth="1"/>
    <col min="2" max="2" width="36.28515625" style="2" customWidth="1"/>
    <col min="3" max="3" width="35.42578125" style="2" customWidth="1"/>
    <col min="4" max="4" width="32.5703125" style="2" customWidth="1"/>
    <col min="5" max="5" width="28.5703125" style="2" customWidth="1"/>
    <col min="6" max="6" width="17.85546875" style="5" customWidth="1"/>
    <col min="7" max="7" width="27" style="5" customWidth="1"/>
    <col min="8" max="9" width="19" style="5" customWidth="1"/>
    <col min="10" max="10" width="20.28515625" style="5" customWidth="1"/>
    <col min="11" max="11" width="29.7109375" style="2" customWidth="1"/>
    <col min="12" max="12" width="17.7109375" style="5" customWidth="1"/>
    <col min="13" max="13" width="18.5703125" style="2" customWidth="1"/>
    <col min="14" max="15" width="21.7109375" style="2" customWidth="1"/>
    <col min="16" max="16" width="19.85546875" style="2" customWidth="1"/>
    <col min="17" max="17" width="35.5703125" style="2" customWidth="1"/>
    <col min="18" max="18" width="17" style="2" customWidth="1"/>
    <col min="19" max="19" width="14.42578125" style="5" customWidth="1"/>
    <col min="20" max="20" width="160" style="2" customWidth="1"/>
    <col min="21" max="21" width="41.7109375" style="2" customWidth="1"/>
    <col min="22" max="22" width="45.85546875" style="2" customWidth="1"/>
    <col min="23" max="23" width="30.42578125" style="2" customWidth="1"/>
    <col min="24" max="24" width="36" style="2" hidden="1" customWidth="1"/>
    <col min="25" max="25" width="0" style="2" hidden="1" customWidth="1"/>
    <col min="26" max="72" width="11.42578125" style="2" hidden="1" customWidth="1"/>
    <col min="73" max="73" width="11.42578125" style="2" customWidth="1"/>
    <col min="74" max="16384" width="11.42578125" style="2"/>
  </cols>
  <sheetData>
    <row r="1" spans="1:72" ht="21" customHeight="1" x14ac:dyDescent="0.25">
      <c r="A1" s="491"/>
      <c r="B1" s="491"/>
      <c r="C1" s="491"/>
      <c r="D1" s="491"/>
      <c r="E1" s="72"/>
      <c r="F1" s="492" t="s">
        <v>0</v>
      </c>
      <c r="G1" s="493"/>
      <c r="H1" s="493"/>
      <c r="I1" s="493"/>
      <c r="J1" s="493"/>
      <c r="K1" s="493"/>
      <c r="L1" s="493"/>
      <c r="M1" s="493"/>
      <c r="N1" s="493"/>
      <c r="O1" s="493"/>
      <c r="P1" s="493"/>
      <c r="Q1" s="493"/>
      <c r="R1" s="493"/>
      <c r="S1" s="493"/>
      <c r="T1" s="494"/>
      <c r="U1" s="501" t="s">
        <v>1</v>
      </c>
      <c r="V1" s="502"/>
      <c r="W1" s="1"/>
      <c r="X1" s="1"/>
    </row>
    <row r="2" spans="1:72" ht="22.5" customHeight="1" x14ac:dyDescent="0.25">
      <c r="A2" s="491"/>
      <c r="B2" s="491"/>
      <c r="C2" s="491"/>
      <c r="D2" s="491"/>
      <c r="E2" s="73"/>
      <c r="F2" s="495"/>
      <c r="G2" s="496"/>
      <c r="H2" s="496"/>
      <c r="I2" s="496"/>
      <c r="J2" s="496"/>
      <c r="K2" s="496"/>
      <c r="L2" s="496"/>
      <c r="M2" s="496"/>
      <c r="N2" s="496"/>
      <c r="O2" s="496"/>
      <c r="P2" s="496"/>
      <c r="Q2" s="496"/>
      <c r="R2" s="496"/>
      <c r="S2" s="496"/>
      <c r="T2" s="497"/>
      <c r="U2" s="522" t="s">
        <v>162</v>
      </c>
      <c r="V2" s="522"/>
      <c r="W2" s="522"/>
      <c r="X2" s="1"/>
    </row>
    <row r="3" spans="1:72" ht="21" customHeight="1" x14ac:dyDescent="0.25">
      <c r="A3" s="491"/>
      <c r="B3" s="491"/>
      <c r="C3" s="491"/>
      <c r="D3" s="491"/>
      <c r="E3" s="73"/>
      <c r="F3" s="495"/>
      <c r="G3" s="496"/>
      <c r="H3" s="496"/>
      <c r="I3" s="496"/>
      <c r="J3" s="496"/>
      <c r="K3" s="496"/>
      <c r="L3" s="496"/>
      <c r="M3" s="496"/>
      <c r="N3" s="496"/>
      <c r="O3" s="496"/>
      <c r="P3" s="496"/>
      <c r="Q3" s="496"/>
      <c r="R3" s="496"/>
      <c r="S3" s="496"/>
      <c r="T3" s="497"/>
      <c r="U3" s="522" t="s">
        <v>163</v>
      </c>
      <c r="V3" s="522"/>
      <c r="W3" s="522"/>
      <c r="X3" s="1"/>
    </row>
    <row r="4" spans="1:72" ht="20.25" customHeight="1" x14ac:dyDescent="0.25">
      <c r="A4" s="491"/>
      <c r="B4" s="491"/>
      <c r="C4" s="491"/>
      <c r="D4" s="491"/>
      <c r="E4" s="74"/>
      <c r="F4" s="498"/>
      <c r="G4" s="499"/>
      <c r="H4" s="499"/>
      <c r="I4" s="499"/>
      <c r="J4" s="499"/>
      <c r="K4" s="499"/>
      <c r="L4" s="499"/>
      <c r="M4" s="499"/>
      <c r="N4" s="499"/>
      <c r="O4" s="499"/>
      <c r="P4" s="499"/>
      <c r="Q4" s="499"/>
      <c r="R4" s="499"/>
      <c r="S4" s="499"/>
      <c r="T4" s="500"/>
      <c r="U4" s="501" t="s">
        <v>2</v>
      </c>
      <c r="V4" s="502"/>
      <c r="W4" s="1"/>
      <c r="X4" s="1"/>
    </row>
    <row r="5" spans="1:72" ht="8.25" customHeight="1" x14ac:dyDescent="0.25">
      <c r="B5" s="3"/>
      <c r="C5" s="3"/>
      <c r="D5" s="3"/>
      <c r="E5" s="3"/>
      <c r="F5" s="4"/>
      <c r="G5" s="4"/>
      <c r="H5" s="4"/>
      <c r="I5" s="4"/>
      <c r="J5" s="4"/>
      <c r="K5" s="4"/>
      <c r="L5" s="4"/>
      <c r="M5" s="4"/>
      <c r="N5" s="4"/>
      <c r="O5" s="4"/>
      <c r="P5" s="4"/>
      <c r="Q5" s="4"/>
      <c r="W5" s="6"/>
      <c r="X5" s="6"/>
    </row>
    <row r="6" spans="1:72" ht="15" x14ac:dyDescent="0.25">
      <c r="A6" s="471" t="s">
        <v>3</v>
      </c>
      <c r="B6" s="471"/>
      <c r="C6" s="471"/>
      <c r="D6" s="471"/>
      <c r="E6" s="75"/>
      <c r="F6" s="485" t="str">
        <f>[14]IdentRiesgo!B2</f>
        <v>Gestión Financiera - Presupuesto</v>
      </c>
      <c r="G6" s="486"/>
      <c r="H6" s="486"/>
      <c r="I6" s="486"/>
      <c r="J6" s="486"/>
      <c r="K6" s="486"/>
      <c r="L6" s="486"/>
      <c r="M6" s="486"/>
      <c r="N6" s="486"/>
      <c r="O6" s="486"/>
      <c r="P6" s="486"/>
      <c r="Q6" s="486"/>
      <c r="R6" s="486"/>
      <c r="S6" s="486"/>
      <c r="T6" s="486"/>
      <c r="U6" s="486"/>
      <c r="V6" s="487"/>
      <c r="W6" s="6"/>
      <c r="X6" s="6"/>
    </row>
    <row r="7" spans="1:72" ht="6.75" customHeight="1" x14ac:dyDescent="0.25">
      <c r="B7" s="3"/>
      <c r="C7" s="3"/>
      <c r="D7" s="3"/>
      <c r="E7" s="3"/>
      <c r="F7" s="7"/>
      <c r="G7" s="7"/>
      <c r="H7" s="7"/>
      <c r="I7" s="7"/>
      <c r="J7" s="7"/>
      <c r="K7" s="7"/>
      <c r="L7" s="7"/>
      <c r="M7" s="7"/>
      <c r="N7" s="7"/>
      <c r="O7" s="7"/>
      <c r="P7" s="7"/>
      <c r="Q7" s="7"/>
      <c r="R7" s="8"/>
      <c r="S7" s="8"/>
      <c r="T7" s="8"/>
      <c r="U7" s="8"/>
      <c r="V7" s="8"/>
      <c r="W7" s="6"/>
      <c r="X7" s="6"/>
    </row>
    <row r="8" spans="1:72" ht="39.75" customHeight="1" x14ac:dyDescent="0.25">
      <c r="A8" s="471" t="s">
        <v>4</v>
      </c>
      <c r="B8" s="471"/>
      <c r="C8" s="471"/>
      <c r="D8" s="471"/>
      <c r="E8" s="75"/>
      <c r="F8" s="488" t="str">
        <f>[14]IdentRiesgo!B3</f>
        <v>Asegurar la oportuna provisión de recursos financieros necesarios para el autosostenimiento y desempeño eficaz y eficiente de la gestión financiera de la entidad mediante el registro de la ejecución presupuestal, la presentación de estados financieros y el recaudo de los ingresos y el pago de los compromisos.</v>
      </c>
      <c r="G8" s="489"/>
      <c r="H8" s="489"/>
      <c r="I8" s="489"/>
      <c r="J8" s="489"/>
      <c r="K8" s="489"/>
      <c r="L8" s="489"/>
      <c r="M8" s="489"/>
      <c r="N8" s="489"/>
      <c r="O8" s="489"/>
      <c r="P8" s="489"/>
      <c r="Q8" s="489"/>
      <c r="R8" s="489"/>
      <c r="S8" s="489"/>
      <c r="T8" s="489"/>
      <c r="U8" s="489"/>
      <c r="V8" s="490"/>
      <c r="W8" s="9"/>
      <c r="X8" s="9"/>
    </row>
    <row r="9" spans="1:72" ht="6.75" customHeight="1" x14ac:dyDescent="0.25">
      <c r="B9" s="10"/>
      <c r="C9" s="10"/>
      <c r="D9" s="10"/>
      <c r="E9" s="10"/>
      <c r="F9" s="11"/>
      <c r="G9" s="11"/>
      <c r="H9" s="11"/>
      <c r="I9" s="11"/>
      <c r="J9" s="11"/>
      <c r="K9" s="11"/>
      <c r="L9" s="11"/>
      <c r="M9" s="11"/>
      <c r="N9" s="11"/>
      <c r="O9" s="11"/>
      <c r="P9" s="11"/>
      <c r="Q9" s="11"/>
      <c r="R9" s="8"/>
      <c r="S9" s="8"/>
      <c r="T9" s="8"/>
      <c r="U9" s="8"/>
      <c r="V9" s="8"/>
      <c r="W9" s="6"/>
      <c r="X9" s="6"/>
    </row>
    <row r="10" spans="1:72" ht="15.75" x14ac:dyDescent="0.25">
      <c r="A10" s="471" t="s">
        <v>5</v>
      </c>
      <c r="B10" s="471"/>
      <c r="C10" s="471"/>
      <c r="D10" s="471"/>
      <c r="E10" s="75"/>
      <c r="F10" s="511" t="s">
        <v>165</v>
      </c>
      <c r="G10" s="512"/>
      <c r="H10" s="512"/>
      <c r="I10" s="512"/>
      <c r="J10" s="512"/>
      <c r="K10" s="512"/>
      <c r="L10" s="512"/>
      <c r="M10" s="512"/>
      <c r="N10" s="512"/>
      <c r="O10" s="512"/>
      <c r="P10" s="512"/>
      <c r="Q10" s="512"/>
      <c r="R10" s="512"/>
      <c r="S10" s="512"/>
      <c r="T10" s="512"/>
      <c r="U10" s="512"/>
      <c r="V10" s="513"/>
      <c r="W10" s="12"/>
      <c r="X10" s="12"/>
    </row>
    <row r="11" spans="1:72" ht="5.25" customHeight="1" x14ac:dyDescent="0.25">
      <c r="B11" s="3"/>
      <c r="C11" s="3"/>
      <c r="D11" s="3"/>
      <c r="E11" s="3"/>
      <c r="F11" s="13"/>
      <c r="G11" s="13"/>
      <c r="H11" s="13"/>
      <c r="I11" s="13"/>
      <c r="J11" s="13"/>
      <c r="K11" s="13"/>
      <c r="L11" s="13"/>
      <c r="M11" s="13"/>
      <c r="N11" s="13"/>
      <c r="O11" s="13"/>
      <c r="P11" s="13"/>
      <c r="Q11" s="13"/>
      <c r="R11" s="8"/>
      <c r="S11" s="8"/>
      <c r="T11" s="8"/>
      <c r="U11" s="8"/>
      <c r="V11" s="8"/>
      <c r="W11" s="6"/>
      <c r="X11" s="6"/>
    </row>
    <row r="12" spans="1:72" ht="15.75" x14ac:dyDescent="0.25">
      <c r="A12" s="471" t="s">
        <v>6</v>
      </c>
      <c r="B12" s="471"/>
      <c r="C12" s="471"/>
      <c r="D12" s="471"/>
      <c r="E12" s="75"/>
      <c r="F12" s="503">
        <f ca="1">NOW()</f>
        <v>43130.660336342589</v>
      </c>
      <c r="G12" s="504"/>
      <c r="H12" s="504"/>
      <c r="I12" s="504"/>
      <c r="J12" s="504"/>
      <c r="K12" s="504"/>
      <c r="L12" s="504"/>
      <c r="M12" s="504"/>
      <c r="N12" s="504"/>
      <c r="O12" s="504"/>
      <c r="P12" s="504"/>
      <c r="Q12" s="504"/>
      <c r="R12" s="504"/>
      <c r="S12" s="504"/>
      <c r="T12" s="504"/>
      <c r="U12" s="504"/>
      <c r="V12" s="505"/>
      <c r="W12" s="12"/>
      <c r="X12" s="12"/>
      <c r="AA12" s="2" t="s">
        <v>7</v>
      </c>
    </row>
    <row r="13" spans="1:72" ht="15.75" thickBot="1" x14ac:dyDescent="0.3">
      <c r="B13" s="3"/>
      <c r="C13" s="3"/>
      <c r="D13" s="3"/>
      <c r="E13" s="3"/>
      <c r="F13" s="14"/>
      <c r="G13" s="14"/>
      <c r="H13" s="15"/>
      <c r="I13" s="15"/>
      <c r="J13" s="15"/>
      <c r="K13" s="7"/>
      <c r="L13" s="15"/>
      <c r="M13" s="7"/>
      <c r="N13" s="7"/>
      <c r="O13" s="7"/>
      <c r="P13" s="7"/>
      <c r="Q13" s="7"/>
      <c r="R13" s="7"/>
      <c r="S13" s="15"/>
      <c r="T13" s="7"/>
      <c r="W13" s="6"/>
      <c r="X13" s="6"/>
      <c r="AA13" s="2" t="s">
        <v>8</v>
      </c>
      <c r="AG13" s="475" t="s">
        <v>9</v>
      </c>
      <c r="AH13" s="475"/>
      <c r="AI13" s="475"/>
      <c r="AJ13" s="475"/>
      <c r="AK13" s="475"/>
      <c r="AL13" s="475"/>
      <c r="AM13" s="475"/>
      <c r="AN13" s="475"/>
      <c r="AO13" s="475"/>
      <c r="AP13" s="475"/>
      <c r="AQ13" s="475"/>
      <c r="AR13" s="475"/>
      <c r="AS13" s="475"/>
      <c r="AT13" s="475"/>
      <c r="AU13" s="475"/>
      <c r="AV13" s="475"/>
      <c r="AW13" s="475"/>
      <c r="AX13" s="475"/>
      <c r="AY13" s="475"/>
      <c r="BA13" s="475" t="s">
        <v>10</v>
      </c>
      <c r="BB13" s="475"/>
      <c r="BC13" s="475"/>
      <c r="BD13" s="475"/>
      <c r="BE13" s="475"/>
      <c r="BF13" s="475"/>
      <c r="BG13" s="475"/>
      <c r="BH13" s="475"/>
      <c r="BI13" s="475"/>
      <c r="BJ13" s="475"/>
      <c r="BK13" s="475"/>
      <c r="BL13" s="475"/>
      <c r="BM13" s="475"/>
      <c r="BN13" s="475"/>
      <c r="BO13" s="475"/>
      <c r="BP13" s="475"/>
      <c r="BQ13" s="475"/>
      <c r="BR13" s="475"/>
      <c r="BS13" s="475"/>
      <c r="BT13" s="475"/>
    </row>
    <row r="14" spans="1:72" s="17" customFormat="1" ht="15" customHeight="1" x14ac:dyDescent="0.25">
      <c r="A14" s="476" t="s">
        <v>11</v>
      </c>
      <c r="B14" s="477"/>
      <c r="C14" s="477"/>
      <c r="D14" s="478"/>
      <c r="E14" s="76"/>
      <c r="F14" s="479" t="s">
        <v>12</v>
      </c>
      <c r="G14" s="479"/>
      <c r="H14" s="479"/>
      <c r="I14" s="16"/>
      <c r="J14" s="16"/>
      <c r="K14" s="480" t="s">
        <v>13</v>
      </c>
      <c r="L14" s="476" t="s">
        <v>14</v>
      </c>
      <c r="M14" s="477"/>
      <c r="N14" s="478"/>
      <c r="O14" s="90"/>
      <c r="P14" s="483" t="s">
        <v>15</v>
      </c>
      <c r="Q14" s="483"/>
      <c r="R14" s="483"/>
      <c r="S14" s="483" t="s">
        <v>16</v>
      </c>
      <c r="T14" s="483"/>
      <c r="U14" s="483"/>
      <c r="V14" s="483"/>
    </row>
    <row r="15" spans="1:72" s="17" customFormat="1" ht="14.25" customHeight="1" x14ac:dyDescent="0.25">
      <c r="A15" s="481" t="s">
        <v>17</v>
      </c>
      <c r="B15" s="481" t="s">
        <v>18</v>
      </c>
      <c r="C15" s="91"/>
      <c r="D15" s="481" t="s">
        <v>19</v>
      </c>
      <c r="E15" s="91"/>
      <c r="F15" s="461" t="s">
        <v>20</v>
      </c>
      <c r="G15" s="461"/>
      <c r="H15" s="461"/>
      <c r="I15" s="87"/>
      <c r="J15" s="18"/>
      <c r="K15" s="481"/>
      <c r="L15" s="466" t="s">
        <v>21</v>
      </c>
      <c r="M15" s="467"/>
      <c r="N15" s="468"/>
      <c r="O15" s="89"/>
      <c r="P15" s="466" t="s">
        <v>22</v>
      </c>
      <c r="Q15" s="467"/>
      <c r="R15" s="468"/>
      <c r="S15" s="461" t="s">
        <v>23</v>
      </c>
      <c r="T15" s="461" t="s">
        <v>24</v>
      </c>
      <c r="U15" s="461" t="s">
        <v>5</v>
      </c>
      <c r="V15" s="461" t="s">
        <v>25</v>
      </c>
    </row>
    <row r="16" spans="1:72" s="17" customFormat="1" ht="63" customHeight="1" x14ac:dyDescent="0.25">
      <c r="A16" s="484"/>
      <c r="B16" s="484"/>
      <c r="C16" s="92" t="s">
        <v>77</v>
      </c>
      <c r="D16" s="484"/>
      <c r="E16" s="92" t="s">
        <v>78</v>
      </c>
      <c r="F16" s="18" t="s">
        <v>26</v>
      </c>
      <c r="G16" s="87" t="s">
        <v>77</v>
      </c>
      <c r="H16" s="18" t="s">
        <v>10</v>
      </c>
      <c r="I16" s="87" t="s">
        <v>77</v>
      </c>
      <c r="J16" s="18" t="s">
        <v>27</v>
      </c>
      <c r="K16" s="482"/>
      <c r="L16" s="18" t="s">
        <v>26</v>
      </c>
      <c r="M16" s="18" t="s">
        <v>10</v>
      </c>
      <c r="N16" s="20" t="s">
        <v>27</v>
      </c>
      <c r="O16" s="92" t="s">
        <v>81</v>
      </c>
      <c r="P16" s="18" t="s">
        <v>28</v>
      </c>
      <c r="Q16" s="18" t="s">
        <v>24</v>
      </c>
      <c r="R16" s="18" t="s">
        <v>29</v>
      </c>
      <c r="S16" s="461"/>
      <c r="T16" s="461"/>
      <c r="U16" s="461"/>
      <c r="V16" s="482"/>
    </row>
    <row r="17" spans="1:70" ht="381" customHeight="1" x14ac:dyDescent="0.25">
      <c r="A17" s="306" t="str">
        <f>IF(ISTEXT([15]IdentificaciónRiesgos!$B8),[15]IdentificaciónRiesgos!$A8,"")</f>
        <v>1. Desconocimiento de principios básicos en la ejecución del presupuesto. 
2. Falta de valores éticos y morales en los servidores públicos que toman decisiones frente al manejo presupuestal.
3. Informacion inconsistente al solicitar los Certificados de Disponibilidad.</v>
      </c>
      <c r="B17" s="306" t="str">
        <f>IF(ISTEXT([15]IdentificaciónRiesgos!$B8),[15]IdentificaciónRiesgos!$B8,"")</f>
        <v>Beneficio a terceros en la expedicion de Certificados Presupuestales y Registros Presupuestales.</v>
      </c>
      <c r="C17" s="306" t="str">
        <f>IF(ISTEXT([15]IdentificaciónRiesgos!$B8),[15]IdentificaciónRiesgos!$C8,"")</f>
        <v>Expedir Certificados de Disponibilidad Presupuestal y/o Registros Presupuestales amparando la contratación del Instituto  sin el lleno de los requisitos legales, en beneficio propio o a cambio de una retribución económica.</v>
      </c>
      <c r="D17" s="306" t="str">
        <f>IF(ISTEXT([15]IdentificaciónRiesgos!$B8),[15]IdentificaciónRiesgos!$D8,"")</f>
        <v>1. Inconsistencias en la informacion suministrada por el Grupo de presupuesto a los diferentes entes de control.
2. Sanciones disciplinarias por parte de los entes de control.
3. Detrimento patrimonial.</v>
      </c>
      <c r="E17" s="308" t="str">
        <f>IF(ISTEXT([15]IdentificaciónRiesgos!$B8),VLOOKUP($C17,[15]DefiniciónRiesgos!$A$4:$F$9,6,FALSE),"")</f>
        <v>RIESGO DE CORRUPCIÓN</v>
      </c>
      <c r="F17" s="309">
        <f>IF(ISTEXT([15]IdentificaciónRiesgos!$B8),IF(EXACT([15]AnálisisRiesgos!$B11,"X"),5,IF(EXACT([15]AnálisisRiesgos!$C11,"X"),4,IF(EXACT([15]AnálisisRiesgos!$D11,"X"),3,IF(EXACT([15]AnálisisRiesgos!$E11,"X"),2,IF(EXACT([15]AnálisisRiesgos!$F11,"X"),1,""))))),"")</f>
        <v>1</v>
      </c>
      <c r="G17" s="309" t="str">
        <f t="shared" ref="G17" si="0">IF(EXACT($F17,5),"Casí Seguro",IF(EXACT($F17,4),"Probable",IF(EXACT($F17,3),"Posible",IF(EXACT($F17,2),"Improbable","Rara Vez"))))</f>
        <v>Rara Vez</v>
      </c>
      <c r="H17" s="310">
        <f>IF(EXACT($B17,""),"",IF(EXACT($E17,"RIESGO DE GESTIÓN"),IF(EXACT([15]AnálisisRiesgos!$G11,"X"),5,IF(EXACT([15]AnálisisRiesgos!$H11,"X"),4,IF(EXACT([15]AnálisisRiesgos!$I11,"X"),3,IF(EXACT([15]AnálisisRiesgos!$J11,"X"),2,1)))),IF(EXACT([15]AnálisisRiesgos!$L11,"X"),20,IF(EXACT([15]AnálisisRiesgos!$M11,"X"),10,5))))</f>
        <v>20</v>
      </c>
      <c r="I17" s="310" t="str">
        <f t="shared" ref="I17" si="1">IF(EXACT($E17,"RIESGO DE GESTIÓN"),IF(EXACT($H17,1),"Insignificante",IF(EXACT($H17,2),"Menor",IF(EXACT($H17,3),"Moderado",IF(EXACT($H17,4),"Mayor","Catastrófico")))),IF(EXACT($H17,5),"Moderado",IF(EXACT($H17,10),"Mayor","Catastrófico")))</f>
        <v>Catastrófico</v>
      </c>
      <c r="J17" s="311" t="s">
        <v>41</v>
      </c>
      <c r="K17" s="334" t="s">
        <v>61</v>
      </c>
      <c r="L17" s="516" t="s">
        <v>10</v>
      </c>
      <c r="M17" s="517"/>
      <c r="N17" s="311" t="s">
        <v>76</v>
      </c>
      <c r="O17" s="333" t="s">
        <v>97</v>
      </c>
      <c r="P17" s="315" t="s">
        <v>62</v>
      </c>
      <c r="Q17" s="315" t="s">
        <v>98</v>
      </c>
      <c r="R17" s="315" t="s">
        <v>63</v>
      </c>
      <c r="S17" s="452"/>
      <c r="T17" s="453"/>
      <c r="U17" s="412" t="s">
        <v>258</v>
      </c>
      <c r="V17" s="457" t="s">
        <v>259</v>
      </c>
      <c r="X17" s="26" t="str">
        <f>IF(AND(F17=1,H17=5),$H$23,IF(AND(F17=1,H17=10),$J$23,IF(AND(F17=1,H17=20),$K$23," ")))</f>
        <v>M</v>
      </c>
      <c r="Y17" s="26" t="str">
        <f>IF(AND(F17=2,H17=5),$H$24,IF(AND(F17=2,H17=10),$J$24,IF(AND(F17=2,H17=20),$K$24," ")))</f>
        <v xml:space="preserve"> </v>
      </c>
      <c r="Z17" s="26" t="str">
        <f>IF(AND(F17=3,H17=5),$H$25,IF(AND(F17=3,H17=10),$J$25,IF(AND(F17=3,H17=20),$K$25," ")))</f>
        <v xml:space="preserve"> </v>
      </c>
      <c r="AA17" s="26" t="str">
        <f>IF(AND(F17=4,H17=5),$H$26,IF(AND(F17=4,H17=10),$J$26,IF(AND(F17=4,H17=20),$K$26," ")))</f>
        <v xml:space="preserve"> </v>
      </c>
      <c r="AB17" s="26" t="str">
        <f>IF(AND(F17=5,H17=5),$H$27,IF(AND(F17=5,H17=10),$J$27,IF(AND(F17=5,H17=20),$K$27," ")))</f>
        <v xml:space="preserve"> </v>
      </c>
      <c r="AE17" s="26" t="str">
        <f>IF(AND(L17&gt;0,[14]EvaluaciónRiesgoCorrup!$F$11&gt;75,F17=1,H17=5),$H$23,IF(AND(L17&gt;0,[14]EvaluaciónRiesgoCorrup!$F$11&gt;75,F17=1,H17=10),$J$23,IF(AND(L17&gt;0,[14]EvaluaciónRiesgoCorrup!$F$11&gt;75,F17=1,H17=20),$K$23," ")))</f>
        <v>M</v>
      </c>
      <c r="AF17" s="26" t="str">
        <f>IF(AND(L17&gt;0,[14]EvaluaciónRiesgoCorrup!$F$11&gt;75,F17=2,H17=5),$H$23,IF(AND(L17&gt;0,[14]EvaluaciónRiesgoCorrup!$F$11&gt;75,F17=2,H17=10),$J$23,IF(AND(L17&gt;0,[14]EvaluaciónRiesgoCorrup!$F$11&gt;75,F17=2,H17=20),$K$23," ")))</f>
        <v xml:space="preserve"> </v>
      </c>
      <c r="AG17" s="26" t="str">
        <f>IF(AND(L17&gt;0,[14]EvaluaciónRiesgoCorrup!$F$11&gt;75,F17=3,H17=5),$H$23,IF(AND(L17&gt;0,[14]EvaluaciónRiesgoCorrup!$F$11&gt;75,F17=3,H17=10),$J$23,IF(AND(L17&gt;0,[14]EvaluaciónRiesgoCorrup!$F$11&gt;75,F17=3,H17=20),$K$23," ")))</f>
        <v xml:space="preserve"> </v>
      </c>
      <c r="AH17" s="26" t="str">
        <f>IF(AND(L17&gt;0,[14]EvaluaciónRiesgoCorrup!$F$11&gt;75,F17=4,H17=5),$H$24,IF(AND(L17&gt;0,[14]EvaluaciónRiesgoCorrup!$F$11&gt;75,F17=4,H17=10),$J$24,IF(AND(L17&gt;0,[14]EvaluaciónRiesgoCorrup!$F$11&gt;75,F17=4,H17=20),$K$24," ")))</f>
        <v xml:space="preserve"> </v>
      </c>
      <c r="AI17" s="26" t="str">
        <f>IF(AND(L17&gt;0,[14]EvaluaciónRiesgoCorrup!$F$11&gt;75,F17=5,H17=5),$H$25,IF(AND(L17&gt;0,[14]EvaluaciónRiesgoCorrup!$F$11&gt;75,F17=5,H17=10),$J$25,IF(AND(L17&gt;0,[14]EvaluaciónRiesgoCorrup!$F$11&gt;75,F17=5,H17=20),$K$25," ")))</f>
        <v xml:space="preserve"> </v>
      </c>
      <c r="AK17" s="26" t="str">
        <f>IF(AND(L17&gt;0,[14]EvaluaciónRiesgoCorrup!$F$11&gt;50,[14]EvaluaciónRiesgoCorrup!$F$11&lt;76,F17=1,H17=5),$H$23,IF(AND(L17&gt;0,[14]EvaluaciónRiesgoCorrup!$F$11&gt;50,[14]EvaluaciónRiesgoCorrup!$F$11&lt;76,F17=1,H17=10),$J$23,IF(AND(L17&gt;0,[14]EvaluaciónRiesgoCorrup!$F$11&gt;50,[14]EvaluaciónRiesgoCorrup!$F$11&lt;76,F17=1,H17=20),$K$23," ")))</f>
        <v xml:space="preserve"> </v>
      </c>
      <c r="AL17" s="26" t="str">
        <f>IF(AND(L17&gt;0,[14]EvaluaciónRiesgoCorrup!$F$11&gt;50,[14]EvaluaciónRiesgoCorrup!$F$11&lt;76,F17=2,H17=5),$H$23,IF(AND(L17&gt;0,[14]EvaluaciónRiesgoCorrup!$F$11&gt;50,[14]EvaluaciónRiesgoCorrup!$F$11&lt;76,F17=2,H17=10),$J$23,IF(AND(L17&gt;0,[14]EvaluaciónRiesgoCorrup!$F$11&gt;50,[14]EvaluaciónRiesgoCorrup!$F$11&lt;76,F17=2,H17=20),$K$23," ")))</f>
        <v xml:space="preserve"> </v>
      </c>
      <c r="AM17" s="26" t="str">
        <f>IF(AND(L17&gt;0,[14]EvaluaciónRiesgoCorrup!$F$11&gt;50,[14]EvaluaciónRiesgoCorrup!$F$11&lt;76,F17=3,H17=5),$H$24,IF(AND(L17&gt;0,[14]EvaluaciónRiesgoCorrup!$F$11&gt;50,[14]EvaluaciónRiesgoCorrup!$F$11&lt;76,F17=3,H17=10),$J$24,IF(AND(L17&gt;0,[14]EvaluaciónRiesgoCorrup!$F$11&gt;50,[14]EvaluaciónRiesgoCorrup!$F$11&lt;76,F17=3,H17=20),$K$24," ")))</f>
        <v xml:space="preserve"> </v>
      </c>
      <c r="AN17" s="26" t="str">
        <f>IF(AND(L17&gt;0,[14]EvaluaciónRiesgoCorrup!$F$11&gt;50,[14]EvaluaciónRiesgoCorrup!$F$11&lt;76,F17=4,H17=5),$H$25,IF(AND(L17&gt;0,[14]EvaluaciónRiesgoCorrup!$F$11&gt;50,[14]EvaluaciónRiesgoCorrup!$F$11&lt;76,F17=4,H17=10),$J$25,IF(AND(L17&gt;0,[14]EvaluaciónRiesgoCorrup!$F$11&gt;50,[14]EvaluaciónRiesgoCorrup!$F$11&lt;76,F17=4,H17=20),$K$25," ")))</f>
        <v xml:space="preserve"> </v>
      </c>
      <c r="AO17" s="26" t="str">
        <f>IF(AND(L17&gt;0,[14]EvaluaciónRiesgoCorrup!$F$11&gt;50,[14]EvaluaciónRiesgoCorrup!$F$11&lt;76,F17=5,H17=5),$H$26,IF(AND(L17&gt;0,[14]EvaluaciónRiesgoCorrup!$F$11&gt;50,[14]EvaluaciónRiesgoCorrup!$F$11&lt;76,F17=5,H17=10),$J$26,IF(AND(L17&gt;0,[14]EvaluaciónRiesgoCorrup!$F$11&gt;50,[14]EvaluaciónRiesgoCorrup!$F$11&lt;76,F17=5,H17=20),$K$26," ")))</f>
        <v xml:space="preserve"> </v>
      </c>
      <c r="AR17" s="26" t="str">
        <f>IF(AND(L17&gt;0,[14]EvaluaciónRiesgoCorrup!$F$11&lt;51,F17=1,H17=5),$H$23,IF(AND(L17&gt;0,[14]EvaluaciónRiesgoCorrup!$F$11&lt;51,F17=1,H17=10),$J$23,IF(AND(L17&gt;0,[14]EvaluaciónRiesgoCorrup!$F$11&lt;51,F17=1,H17=20),K$23," ")))</f>
        <v xml:space="preserve"> </v>
      </c>
      <c r="AS17" s="26" t="str">
        <f>IF(AND(L17&gt;0,[14]EvaluaciónRiesgoCorrup!$F$11&lt;51,F17=2,H17=5),$H$24,IF(AND(L17&gt;0,[14]EvaluaciónRiesgoCorrup!$F$11&lt;51,F17=2,H17=10),$J$24,IF(AND(L17&gt;0,[14]EvaluaciónRiesgoCorrup!$F$11&lt;51,F17=2,H17=20),K$24," ")))</f>
        <v xml:space="preserve"> </v>
      </c>
      <c r="AT17" s="26" t="str">
        <f>IF(AND(L17&gt;0,[14]EvaluaciónRiesgoCorrup!$F$11&lt;51,F17=3,H17=5),$H$25,IF(AND(L17&gt;0,[14]EvaluaciónRiesgoCorrup!$F$11&lt;51,F17=3,H17=10),$J$25,IF(AND(L17&gt;0,[14]EvaluaciónRiesgoCorrup!$F$11&lt;51,F17=3,H17=20),K$25," ")))</f>
        <v xml:space="preserve"> </v>
      </c>
      <c r="AU17" s="26" t="str">
        <f>IF(AND(L17&gt;0,[14]EvaluaciónRiesgoCorrup!$F$11&lt;51,F17=4,H17=5),$H$26,IF(AND(L17&gt;0,[14]EvaluaciónRiesgoCorrup!$F$11&lt;51,F17=4,H17=10),$J$26,IF(AND(L17&gt;0,[14]EvaluaciónRiesgoCorrup!$F$11&lt;51,F17=4,H17=20),K$26," ")))</f>
        <v xml:space="preserve"> </v>
      </c>
      <c r="AV17" s="26" t="str">
        <f>IF(AND(L17&gt;0,[14]EvaluaciónRiesgoCorrup!$F$11&lt;51,F17=5,H17=5),$H$27,IF(AND(L17&gt;0,[14]EvaluaciónRiesgoCorrup!$F$11&lt;51,F17=5,H17=10),$J$27,IF(AND(L17&gt;0,[14]EvaluaciónRiesgoCorrup!$F$11&lt;51,F17=5,H17=20),K$27," ")))</f>
        <v xml:space="preserve"> </v>
      </c>
      <c r="AZ17" s="26" t="str">
        <f>IF(AND(M17&gt;0,[14]EvaluaciónRiesgoCorrup!$F$11&gt;75,F17=1,H17=5),$H$23,IF(AND(M17&gt;0,[14]EvaluaciónRiesgoCorrup!$F$11&gt;75,F17=1,H17=10),$H$23,IF(AND(M17&gt;0,[14]EvaluaciónRiesgoCorrup!$F$11&gt;75,F17=1,H17=20),$H$23," ")))</f>
        <v xml:space="preserve"> </v>
      </c>
      <c r="BA17" s="26" t="str">
        <f>IF(AND(M17&gt;0,[14]EvaluaciónRiesgoCorrup!$F$11&gt;75,F17=2,H17=5),$H$24,IF(AND(M17&gt;0,[14]EvaluaciónRiesgoCorrup!$F$11&gt;75,F17=2,H17=10),$H$24,IF(AND(M17&gt;0,[14]EvaluaciónRiesgoCorrup!$F$11&gt;75,F17=2,H17=20),$H$24," ")))</f>
        <v xml:space="preserve"> </v>
      </c>
      <c r="BB17" s="26" t="str">
        <f>IF(AND(M17&gt;0,[14]EvaluaciónRiesgoCorrup!$F$11&gt;75,F17=3,H17=5),$H$25,IF(AND(M17&gt;0,[14]EvaluaciónRiesgoCorrup!$F$11&gt;75,F17=3,H17=10),$H$25,IF(AND(M17&gt;0,[14]EvaluaciónRiesgoCorrup!$F$11&gt;75,F17=3,H17=20),$H$25," ")))</f>
        <v xml:space="preserve"> </v>
      </c>
      <c r="BC17" s="26" t="str">
        <f>IF(AND(M17&gt;0,[14]EvaluaciónRiesgoCorrup!$F$11&gt;75,F17=4,H17=5),$H$26,IF(AND(M17&gt;0,[14]EvaluaciónRiesgoCorrup!$F$11&gt;75,F17=4,H17=10),$H$26,IF(AND(M17&gt;0,[14]EvaluaciónRiesgoCorrup!$F$11&gt;75,F17=4,H17=20),$H$26," ")))</f>
        <v xml:space="preserve"> </v>
      </c>
      <c r="BD17" s="26" t="str">
        <f>IF(AND(M17&gt;0,[14]EvaluaciónRiesgoCorrup!$F$11&gt;75,F17=5,H17=5),$H$27,IF(AND(M17&gt;0,[14]EvaluaciónRiesgoCorrup!$F$11&gt;75,F17=5,H17=10),$H$27,IF(AND(M17&gt;0,[14]EvaluaciónRiesgoCorrup!$F$11&gt;75,F17=5,H17=20),$H$27," ")))</f>
        <v xml:space="preserve"> </v>
      </c>
      <c r="BG17" s="26" t="str">
        <f>IF(AND(M17&gt;0,[14]EvaluaciónRiesgoCorrup!$F$11&gt;50,[14]EvaluaciónRiesgoCorrup!$F$11&lt;76,F17=1,H17=5),$H$23,IF(AND(M17&gt;0,[14]EvaluaciónRiesgoCorrup!$F$11&gt;50,[14]EvaluaciónRiesgoCorrup!$F$11&lt;76,F17=1,H17=10),$H$23,IF(AND(M17&gt;0,[14]EvaluaciónRiesgoCorrup!$F$11&gt;50,[14]EvaluaciónRiesgoCorrup!$F$11&lt;76,F17=1,H17=20),$J$23," ")))</f>
        <v xml:space="preserve"> </v>
      </c>
      <c r="BH17" s="26" t="str">
        <f>IF(AND(M17&gt;0,[14]EvaluaciónRiesgoCorrup!$F$11&gt;50,[14]EvaluaciónRiesgoCorrup!$F$11&lt;76,F17=2,H17=5),$H$24,IF(AND(M17&gt;0,[14]EvaluaciónRiesgoCorrup!$F$11&gt;50,[14]EvaluaciónRiesgoCorrup!$F$11&lt;76,F17=2,H17=10),$H$24,IF(AND(M17&gt;0,[14]EvaluaciónRiesgoCorrup!$F$11&gt;50,[14]EvaluaciónRiesgoCorrup!$F$11&lt;76,F17=2,H17=20),$J$24," ")))</f>
        <v xml:space="preserve"> </v>
      </c>
      <c r="BI17" s="26" t="str">
        <f>IF(AND(M17&gt;0,[14]EvaluaciónRiesgoCorrup!$F$11&gt;50,[14]EvaluaciónRiesgoCorrup!$F$11&lt;76,F17=3,H17=5),$H$25,IF(AND(M17&gt;0,[14]EvaluaciónRiesgoCorrup!$F$11&gt;50,[14]EvaluaciónRiesgoCorrup!$F$11&lt;76,F17=3,H17=10),$H$25,IF(AND(M17&gt;0,[14]EvaluaciónRiesgoCorrup!$F$11&gt;50,[14]EvaluaciónRiesgoCorrup!$F$11&lt;76,F17=3,H17=20),$J$25," ")))</f>
        <v xml:space="preserve"> </v>
      </c>
      <c r="BJ17" s="26" t="str">
        <f>IF(AND(M17&gt;0,[14]EvaluaciónRiesgoCorrup!$F$11&gt;50,[14]EvaluaciónRiesgoCorrup!$F$11&lt;76,F17=4,H17=5),$H$26,IF(AND(M17&gt;0,[14]EvaluaciónRiesgoCorrup!$F$11&gt;50,[14]EvaluaciónRiesgoCorrup!$F$11&lt;76,F17=4,H17=10),$H$26,IF(AND(M17&gt;0,[14]EvaluaciónRiesgoCorrup!$F$11&gt;50,[14]EvaluaciónRiesgoCorrup!$F$11&lt;76,F17=4,H17=20),$J$26," ")))</f>
        <v xml:space="preserve"> </v>
      </c>
      <c r="BK17" s="26" t="str">
        <f>IF(AND(M17&gt;0,[14]EvaluaciónRiesgoCorrup!$F$11&gt;50,[14]EvaluaciónRiesgoCorrup!$F$11&lt;76,F17=5,H17=5),$H$27,IF(AND(M17&gt;0,[14]EvaluaciónRiesgoCorrup!$F$11&gt;50,[14]EvaluaciónRiesgoCorrup!$F$11&lt;76,F17=5,H17=10),$H$27,IF(AND(M17&gt;0,[14]EvaluaciónRiesgoCorrup!$F$11&gt;50,[14]EvaluaciónRiesgoCorrup!$F$11&lt;76,F17=5,H17=20),$J$27," ")))</f>
        <v xml:space="preserve"> </v>
      </c>
      <c r="BN17" s="26" t="str">
        <f>IF(AND(M17&gt;0,[14]EvaluaciónRiesgoCorrup!$F$11&lt;51,F17=1,H17=5),$H$23,IF(AND(M17&gt;0,[14]EvaluaciónRiesgoCorrup!$F$11&lt;51,F17=1,H17=10),$J$23,IF(AND(M17&gt;0,[14]EvaluaciónRiesgoCorrup!$F$11&lt;51,F17=1,H17=20),$K$23," ")))</f>
        <v xml:space="preserve"> </v>
      </c>
      <c r="BO17" s="26" t="str">
        <f>IF(AND(M17&gt;0,[14]EvaluaciónRiesgoCorrup!$F$11&lt;51,F17=2,H17=5),$H$24,IF(AND(M17&gt;0,[14]EvaluaciónRiesgoCorrup!$F$11&lt;51,F17=2,H17=10),$J$24,IF(AND(M17&gt;0,[14]EvaluaciónRiesgoCorrup!$F$11&lt;51,F17=2,H17=20),$K$24," ")))</f>
        <v xml:space="preserve"> </v>
      </c>
      <c r="BP17" s="26" t="str">
        <f>IF(AND(M17&gt;0,[14]EvaluaciónRiesgoCorrup!$F$11&lt;51,F17=3,H17=5),$H$25,IF(AND(M17&gt;0,[14]EvaluaciónRiesgoCorrup!$F$11&lt;51,F17=3,H17=10),$J$25,IF(AND(M17&gt;0,[14]EvaluaciónRiesgoCorrup!$F$11&lt;51,F17=3,H17=20),$K$25," ")))</f>
        <v xml:space="preserve"> </v>
      </c>
      <c r="BQ17" s="26" t="str">
        <f>IF(AND(M17&gt;0,[14]EvaluaciónRiesgoCorrup!$F$11&lt;51,F17=4,H17=5),$H$26,IF(AND(M17&gt;0,[14]EvaluaciónRiesgoCorrup!$F$11&lt;51,F17=4,H17=10),$J$26,IF(AND(M17&gt;0,[14]EvaluaciónRiesgoCorrup!$F$11&lt;51,F17=4,H17=20),$K$26," ")))</f>
        <v xml:space="preserve"> </v>
      </c>
      <c r="BR17" s="26" t="str">
        <f>IF(AND(M17&gt;0,[14]EvaluaciónRiesgoCorrup!$F$11&lt;51,F17=5,H17=5),$H$27,IF(AND(M17&gt;0,[14]EvaluaciónRiesgoCorrup!$F$11&lt;51,F17=5,H17=10),$J$27,IF(AND(M17&gt;0,[14]EvaluaciónRiesgoCorrup!$F$11&lt;51,F17=5,H17=20),$K$27," ")))</f>
        <v xml:space="preserve"> </v>
      </c>
    </row>
    <row r="18" spans="1:70" ht="271.5" customHeight="1" x14ac:dyDescent="0.25">
      <c r="A18" s="100"/>
      <c r="B18" s="101"/>
      <c r="C18" s="102"/>
      <c r="D18" s="261"/>
      <c r="E18" s="255"/>
      <c r="F18" s="256"/>
      <c r="G18" s="256"/>
      <c r="H18" s="257"/>
      <c r="I18" s="257"/>
      <c r="J18" s="258"/>
      <c r="K18" s="103"/>
      <c r="L18" s="523"/>
      <c r="M18" s="523"/>
      <c r="N18" s="311"/>
      <c r="O18" s="104"/>
      <c r="P18" s="152"/>
      <c r="Q18" s="152"/>
      <c r="R18" s="152"/>
      <c r="S18" s="331"/>
      <c r="T18" s="332"/>
      <c r="U18" s="260"/>
      <c r="V18" s="239"/>
      <c r="W18" s="125"/>
    </row>
    <row r="19" spans="1:70" ht="164.25" customHeight="1" x14ac:dyDescent="0.25">
      <c r="A19" s="26"/>
      <c r="B19" s="28"/>
      <c r="C19" s="81"/>
      <c r="D19" s="126"/>
      <c r="E19" s="126"/>
      <c r="F19" s="327"/>
      <c r="G19" s="327"/>
      <c r="H19" s="327"/>
      <c r="I19" s="327"/>
      <c r="J19" s="327"/>
      <c r="K19" s="125"/>
      <c r="L19" s="327"/>
      <c r="M19" s="125"/>
      <c r="N19" s="125"/>
      <c r="O19" s="125"/>
      <c r="P19" s="125"/>
      <c r="Q19" s="125"/>
      <c r="R19" s="125"/>
      <c r="S19" s="327"/>
      <c r="T19" s="125"/>
      <c r="U19" s="125"/>
      <c r="V19" s="125"/>
      <c r="W19" s="125"/>
    </row>
    <row r="20" spans="1:70" ht="15" thickBot="1" x14ac:dyDescent="0.3">
      <c r="A20" s="26"/>
      <c r="B20" s="28"/>
      <c r="C20" s="28"/>
      <c r="D20" s="81"/>
      <c r="E20" s="31"/>
      <c r="H20" s="30"/>
      <c r="I20" s="30"/>
      <c r="J20" s="30"/>
    </row>
    <row r="21" spans="1:70" ht="15.75" thickBot="1" x14ac:dyDescent="0.3">
      <c r="A21" s="6"/>
      <c r="B21" s="31"/>
      <c r="C21" s="31"/>
      <c r="D21" s="31"/>
      <c r="E21" s="31"/>
      <c r="F21" s="462" t="s">
        <v>26</v>
      </c>
      <c r="G21" s="77"/>
      <c r="H21" s="464" t="s">
        <v>10</v>
      </c>
      <c r="I21" s="464"/>
      <c r="J21" s="464"/>
      <c r="K21" s="465"/>
      <c r="L21" s="2"/>
      <c r="Q21" s="5"/>
      <c r="S21" s="2"/>
    </row>
    <row r="22" spans="1:70" ht="32.25" customHeight="1" thickBot="1" x14ac:dyDescent="0.3">
      <c r="A22" s="5"/>
      <c r="B22" s="32" t="s">
        <v>34</v>
      </c>
      <c r="C22" s="32"/>
      <c r="D22" s="32"/>
      <c r="E22" s="32"/>
      <c r="F22" s="463"/>
      <c r="G22" s="88"/>
      <c r="H22" s="33" t="s">
        <v>35</v>
      </c>
      <c r="I22" s="33"/>
      <c r="J22" s="34" t="s">
        <v>36</v>
      </c>
      <c r="K22" s="33" t="s">
        <v>37</v>
      </c>
      <c r="L22" s="2"/>
      <c r="Q22" s="5"/>
      <c r="S22" s="2"/>
    </row>
    <row r="23" spans="1:70" ht="15.75" thickBot="1" x14ac:dyDescent="0.3">
      <c r="B23" s="5" t="s">
        <v>38</v>
      </c>
      <c r="C23" s="5"/>
      <c r="F23" s="35" t="s">
        <v>39</v>
      </c>
      <c r="G23" s="35"/>
      <c r="H23" s="36" t="s">
        <v>40</v>
      </c>
      <c r="I23" s="36"/>
      <c r="J23" s="36" t="s">
        <v>40</v>
      </c>
      <c r="K23" s="37" t="s">
        <v>41</v>
      </c>
      <c r="L23" s="2"/>
      <c r="Q23" s="5"/>
      <c r="S23" s="2"/>
    </row>
    <row r="24" spans="1:70" ht="30.75" thickBot="1" x14ac:dyDescent="0.3">
      <c r="F24" s="35" t="s">
        <v>42</v>
      </c>
      <c r="G24" s="35"/>
      <c r="H24" s="36" t="s">
        <v>40</v>
      </c>
      <c r="I24" s="36"/>
      <c r="J24" s="37" t="s">
        <v>41</v>
      </c>
      <c r="K24" s="38" t="s">
        <v>43</v>
      </c>
      <c r="L24" s="2"/>
      <c r="Q24" s="5"/>
      <c r="S24" s="2"/>
    </row>
    <row r="25" spans="1:70" ht="15.75" thickBot="1" x14ac:dyDescent="0.3">
      <c r="F25" s="35" t="s">
        <v>44</v>
      </c>
      <c r="G25" s="35"/>
      <c r="H25" s="37" t="s">
        <v>41</v>
      </c>
      <c r="I25" s="37"/>
      <c r="J25" s="38" t="s">
        <v>43</v>
      </c>
      <c r="K25" s="39" t="s">
        <v>45</v>
      </c>
      <c r="L25" s="2"/>
      <c r="Q25" s="5"/>
      <c r="S25" s="2"/>
    </row>
    <row r="26" spans="1:70" ht="15.75" thickBot="1" x14ac:dyDescent="0.3">
      <c r="F26" s="35" t="s">
        <v>46</v>
      </c>
      <c r="G26" s="35"/>
      <c r="H26" s="37" t="s">
        <v>41</v>
      </c>
      <c r="I26" s="37"/>
      <c r="J26" s="38" t="s">
        <v>43</v>
      </c>
      <c r="K26" s="39" t="s">
        <v>45</v>
      </c>
      <c r="L26" s="2"/>
      <c r="Q26" s="5"/>
      <c r="S26" s="2"/>
    </row>
    <row r="27" spans="1:70" ht="30.75" thickBot="1" x14ac:dyDescent="0.3">
      <c r="F27" s="35" t="s">
        <v>47</v>
      </c>
      <c r="G27" s="35"/>
      <c r="H27" s="37" t="s">
        <v>41</v>
      </c>
      <c r="I27" s="37"/>
      <c r="J27" s="38" t="s">
        <v>43</v>
      </c>
      <c r="K27" s="39" t="s">
        <v>45</v>
      </c>
      <c r="L27" s="2"/>
      <c r="Q27" s="5"/>
      <c r="S27" s="2"/>
    </row>
    <row r="28" spans="1:70" x14ac:dyDescent="0.25">
      <c r="F28" s="2"/>
      <c r="G28" s="2"/>
      <c r="H28" s="2"/>
      <c r="I28" s="2"/>
      <c r="J28" s="2"/>
      <c r="K28" s="5"/>
      <c r="M28" s="5"/>
    </row>
    <row r="29" spans="1:70" ht="15" x14ac:dyDescent="0.25">
      <c r="F29" s="40" t="s">
        <v>48</v>
      </c>
      <c r="G29" s="40"/>
      <c r="H29" s="2"/>
      <c r="I29" s="2"/>
      <c r="J29" s="2"/>
      <c r="K29" s="5"/>
      <c r="M29" s="5"/>
      <c r="N29" s="5"/>
      <c r="O29" s="5"/>
      <c r="P29" s="5"/>
    </row>
    <row r="30" spans="1:70" ht="15" x14ac:dyDescent="0.25">
      <c r="F30" s="41" t="s">
        <v>49</v>
      </c>
      <c r="G30" s="41"/>
      <c r="H30" s="2"/>
      <c r="I30" s="2"/>
      <c r="J30" s="2"/>
      <c r="K30" s="5"/>
      <c r="M30" s="5"/>
      <c r="N30" s="5"/>
      <c r="O30" s="5"/>
      <c r="P30" s="5"/>
    </row>
    <row r="31" spans="1:70" ht="15" x14ac:dyDescent="0.25">
      <c r="F31" s="42" t="s">
        <v>50</v>
      </c>
      <c r="G31" s="42"/>
      <c r="H31" s="2"/>
      <c r="I31" s="2"/>
      <c r="J31" s="2"/>
      <c r="K31" s="5"/>
      <c r="M31" s="5"/>
      <c r="N31" s="5"/>
      <c r="O31" s="5"/>
      <c r="P31" s="5"/>
    </row>
    <row r="32" spans="1:70" ht="15" x14ac:dyDescent="0.25">
      <c r="F32" s="43" t="s">
        <v>51</v>
      </c>
      <c r="G32" s="43"/>
      <c r="H32" s="2"/>
      <c r="I32" s="2"/>
      <c r="J32" s="2"/>
      <c r="K32" s="5"/>
      <c r="M32" s="5"/>
      <c r="N32" s="5"/>
      <c r="O32" s="5"/>
      <c r="P32" s="5"/>
    </row>
  </sheetData>
  <mergeCells count="36">
    <mergeCell ref="T15:T16"/>
    <mergeCell ref="U15:U16"/>
    <mergeCell ref="V15:V16"/>
    <mergeCell ref="F21:F22"/>
    <mergeCell ref="H21:K21"/>
    <mergeCell ref="P15:R15"/>
    <mergeCell ref="L17:M17"/>
    <mergeCell ref="L18:M18"/>
    <mergeCell ref="A12:D12"/>
    <mergeCell ref="F12:V12"/>
    <mergeCell ref="AG13:AY13"/>
    <mergeCell ref="BA13:BT13"/>
    <mergeCell ref="A14:D14"/>
    <mergeCell ref="F14:H14"/>
    <mergeCell ref="K14:K16"/>
    <mergeCell ref="L14:N14"/>
    <mergeCell ref="P14:R14"/>
    <mergeCell ref="S14:V14"/>
    <mergeCell ref="A15:A16"/>
    <mergeCell ref="B15:B16"/>
    <mergeCell ref="D15:D16"/>
    <mergeCell ref="F15:H15"/>
    <mergeCell ref="L15:N15"/>
    <mergeCell ref="S15:S16"/>
    <mergeCell ref="A6:D6"/>
    <mergeCell ref="F6:V6"/>
    <mergeCell ref="A8:D8"/>
    <mergeCell ref="F8:V8"/>
    <mergeCell ref="A10:D10"/>
    <mergeCell ref="F10:V10"/>
    <mergeCell ref="A1:D4"/>
    <mergeCell ref="F1:T4"/>
    <mergeCell ref="U1:V1"/>
    <mergeCell ref="U4:V4"/>
    <mergeCell ref="U2:W2"/>
    <mergeCell ref="U3:W3"/>
  </mergeCells>
  <conditionalFormatting sqref="N18">
    <cfRule type="containsText" dxfId="59" priority="21" operator="containsText" text="E">
      <formula>NOT(ISERROR(SEARCH("E",N18)))</formula>
    </cfRule>
    <cfRule type="containsText" dxfId="58" priority="22" operator="containsText" text="M">
      <formula>NOT(ISERROR(SEARCH("M",N18)))</formula>
    </cfRule>
    <cfRule type="containsText" dxfId="57" priority="23" operator="containsText" text="A">
      <formula>NOT(ISERROR(SEARCH("A",N18)))</formula>
    </cfRule>
    <cfRule type="containsText" dxfId="56" priority="24" operator="containsText" text="B">
      <formula>NOT(ISERROR(SEARCH("B",N18)))</formula>
    </cfRule>
  </conditionalFormatting>
  <conditionalFormatting sqref="J17 N17">
    <cfRule type="containsText" dxfId="55" priority="1" operator="containsText" text="E">
      <formula>NOT(ISERROR(SEARCH("E",J17)))</formula>
    </cfRule>
    <cfRule type="containsText" dxfId="54" priority="2" operator="containsText" text="M">
      <formula>NOT(ISERROR(SEARCH("M",J17)))</formula>
    </cfRule>
    <cfRule type="containsText" dxfId="53" priority="3" operator="containsText" text="A">
      <formula>NOT(ISERROR(SEARCH("A",J17)))</formula>
    </cfRule>
    <cfRule type="containsText" dxfId="52" priority="4" operator="containsText" text="B">
      <formula>NOT(ISERROR(SEARCH("B",J17)))</formula>
    </cfRule>
  </conditionalFormatting>
  <dataValidations disablePrompts="1" count="3">
    <dataValidation type="list" allowBlank="1" showInputMessage="1" showErrorMessage="1" sqref="L18:M18 O18">
      <formula1>#REF!</formula1>
    </dataValidation>
    <dataValidation type="list" allowBlank="1" showInputMessage="1" showErrorMessage="1" sqref="P18:Q18">
      <formula1>$J$29:$J$32</formula1>
    </dataValidation>
    <dataValidation type="list" allowBlank="1" showInputMessage="1" showErrorMessage="1" promptTitle="AFECTA A:" prompt="Seleccione según a quien afecte el control" sqref="L17:M17">
      <formula1>$XFD$2:$XFD$3</formula1>
    </dataValidation>
  </dataValidations>
  <pageMargins left="0.7" right="0.7" top="0.75" bottom="0.75" header="0.3" footer="0.3"/>
  <pageSetup scale="16"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32"/>
  <sheetViews>
    <sheetView showGridLines="0" view="pageBreakPreview" topLeftCell="D6" zoomScale="70" zoomScaleNormal="70" zoomScaleSheetLayoutView="70" workbookViewId="0">
      <selection activeCell="F12" sqref="F12:V12"/>
    </sheetView>
  </sheetViews>
  <sheetFormatPr baseColWidth="10" defaultColWidth="11.42578125" defaultRowHeight="14.25" x14ac:dyDescent="0.25"/>
  <cols>
    <col min="1" max="1" width="41.28515625" style="2" customWidth="1"/>
    <col min="2" max="2" width="40.42578125" style="2" customWidth="1"/>
    <col min="3" max="3" width="40.42578125" style="115" customWidth="1"/>
    <col min="4" max="4" width="40.42578125" style="2" customWidth="1"/>
    <col min="5" max="5" width="40.42578125" style="115" customWidth="1"/>
    <col min="6" max="6" width="27" style="5" customWidth="1"/>
    <col min="7" max="7" width="27" style="118" customWidth="1"/>
    <col min="8" max="8" width="19" style="5" customWidth="1"/>
    <col min="9" max="10" width="19" style="118" customWidth="1"/>
    <col min="11" max="11" width="26.140625" style="118" customWidth="1"/>
    <col min="12" max="12" width="17.7109375" style="5" customWidth="1"/>
    <col min="13" max="13" width="18.5703125" style="2" customWidth="1"/>
    <col min="14" max="14" width="21.7109375" style="2" customWidth="1"/>
    <col min="15" max="15" width="21.7109375" style="115" customWidth="1"/>
    <col min="16" max="16" width="19.85546875" style="2" customWidth="1"/>
    <col min="17" max="17" width="41.85546875" style="2" customWidth="1"/>
    <col min="18" max="18" width="29.140625" style="2" customWidth="1"/>
    <col min="19" max="19" width="36.42578125" style="5" customWidth="1"/>
    <col min="20" max="20" width="75.7109375" style="2" customWidth="1"/>
    <col min="21" max="21" width="30.42578125" style="2" customWidth="1"/>
    <col min="22" max="22" width="47.42578125" style="2" customWidth="1"/>
    <col min="23" max="23" width="46.7109375" style="2" customWidth="1"/>
    <col min="24" max="24" width="36" style="2" hidden="1" customWidth="1"/>
    <col min="25" max="25" width="0" style="2" hidden="1" customWidth="1"/>
    <col min="26" max="72" width="11.42578125" style="2" hidden="1" customWidth="1"/>
    <col min="73" max="73" width="11.42578125" style="2" customWidth="1"/>
    <col min="74" max="16384" width="11.42578125" style="2"/>
  </cols>
  <sheetData>
    <row r="1" spans="1:72" ht="21" customHeight="1" x14ac:dyDescent="0.25">
      <c r="A1" s="491"/>
      <c r="B1" s="491"/>
      <c r="C1" s="491"/>
      <c r="D1" s="491"/>
      <c r="E1" s="72"/>
      <c r="F1" s="492" t="s">
        <v>0</v>
      </c>
      <c r="G1" s="493"/>
      <c r="H1" s="493"/>
      <c r="I1" s="493"/>
      <c r="J1" s="493"/>
      <c r="K1" s="493"/>
      <c r="L1" s="493"/>
      <c r="M1" s="493"/>
      <c r="N1" s="493"/>
      <c r="O1" s="493"/>
      <c r="P1" s="493"/>
      <c r="Q1" s="493"/>
      <c r="R1" s="493"/>
      <c r="S1" s="493"/>
      <c r="T1" s="494"/>
      <c r="U1" s="501" t="s">
        <v>1</v>
      </c>
      <c r="V1" s="502"/>
      <c r="W1" s="1"/>
      <c r="X1" s="1"/>
    </row>
    <row r="2" spans="1:72" ht="22.5" customHeight="1" x14ac:dyDescent="0.25">
      <c r="A2" s="491"/>
      <c r="B2" s="491"/>
      <c r="C2" s="491"/>
      <c r="D2" s="491"/>
      <c r="E2" s="73"/>
      <c r="F2" s="495"/>
      <c r="G2" s="496"/>
      <c r="H2" s="496"/>
      <c r="I2" s="496"/>
      <c r="J2" s="496"/>
      <c r="K2" s="496"/>
      <c r="L2" s="496"/>
      <c r="M2" s="496"/>
      <c r="N2" s="496"/>
      <c r="O2" s="496"/>
      <c r="P2" s="496"/>
      <c r="Q2" s="496"/>
      <c r="R2" s="496"/>
      <c r="S2" s="496"/>
      <c r="T2" s="497"/>
      <c r="U2" s="522" t="s">
        <v>162</v>
      </c>
      <c r="V2" s="522"/>
      <c r="W2" s="522"/>
      <c r="X2" s="1"/>
    </row>
    <row r="3" spans="1:72" ht="21" customHeight="1" x14ac:dyDescent="0.25">
      <c r="A3" s="491"/>
      <c r="B3" s="491"/>
      <c r="C3" s="491"/>
      <c r="D3" s="491"/>
      <c r="E3" s="73"/>
      <c r="F3" s="495"/>
      <c r="G3" s="496"/>
      <c r="H3" s="496"/>
      <c r="I3" s="496"/>
      <c r="J3" s="496"/>
      <c r="K3" s="496"/>
      <c r="L3" s="496"/>
      <c r="M3" s="496"/>
      <c r="N3" s="496"/>
      <c r="O3" s="496"/>
      <c r="P3" s="496"/>
      <c r="Q3" s="496"/>
      <c r="R3" s="496"/>
      <c r="S3" s="496"/>
      <c r="T3" s="497"/>
      <c r="U3" s="522" t="s">
        <v>163</v>
      </c>
      <c r="V3" s="522"/>
      <c r="W3" s="522"/>
      <c r="X3" s="1"/>
    </row>
    <row r="4" spans="1:72" ht="20.25" customHeight="1" x14ac:dyDescent="0.25">
      <c r="A4" s="491"/>
      <c r="B4" s="491"/>
      <c r="C4" s="491"/>
      <c r="D4" s="491"/>
      <c r="E4" s="74"/>
      <c r="F4" s="498"/>
      <c r="G4" s="499"/>
      <c r="H4" s="499"/>
      <c r="I4" s="499"/>
      <c r="J4" s="499"/>
      <c r="K4" s="499"/>
      <c r="L4" s="499"/>
      <c r="M4" s="499"/>
      <c r="N4" s="499"/>
      <c r="O4" s="499"/>
      <c r="P4" s="499"/>
      <c r="Q4" s="499"/>
      <c r="R4" s="499"/>
      <c r="S4" s="499"/>
      <c r="T4" s="500"/>
      <c r="U4" s="501" t="s">
        <v>2</v>
      </c>
      <c r="V4" s="502"/>
      <c r="W4" s="1"/>
      <c r="X4" s="1"/>
    </row>
    <row r="5" spans="1:72" ht="8.25" customHeight="1" x14ac:dyDescent="0.25">
      <c r="B5" s="3"/>
      <c r="C5" s="116"/>
      <c r="D5" s="3"/>
      <c r="E5" s="116"/>
      <c r="F5" s="4"/>
      <c r="G5" s="117"/>
      <c r="H5" s="4"/>
      <c r="I5" s="117"/>
      <c r="J5" s="117"/>
      <c r="K5" s="117"/>
      <c r="L5" s="4"/>
      <c r="M5" s="4"/>
      <c r="N5" s="4"/>
      <c r="O5" s="117"/>
      <c r="P5" s="4"/>
      <c r="Q5" s="4"/>
      <c r="W5" s="6"/>
      <c r="X5" s="6"/>
    </row>
    <row r="6" spans="1:72" ht="15" x14ac:dyDescent="0.25">
      <c r="A6" s="471" t="s">
        <v>3</v>
      </c>
      <c r="B6" s="471"/>
      <c r="C6" s="471"/>
      <c r="D6" s="471"/>
      <c r="E6" s="75"/>
      <c r="F6" s="485" t="str">
        <f>[16]IdentRiesgo!B2</f>
        <v>GESTION FINANCIERA - TESORERÍA</v>
      </c>
      <c r="G6" s="486"/>
      <c r="H6" s="486"/>
      <c r="I6" s="486"/>
      <c r="J6" s="486"/>
      <c r="K6" s="486"/>
      <c r="L6" s="486"/>
      <c r="M6" s="486"/>
      <c r="N6" s="486"/>
      <c r="O6" s="486"/>
      <c r="P6" s="486"/>
      <c r="Q6" s="486"/>
      <c r="R6" s="486"/>
      <c r="S6" s="486"/>
      <c r="T6" s="486"/>
      <c r="U6" s="486"/>
      <c r="V6" s="487"/>
      <c r="W6" s="6"/>
      <c r="X6" s="6"/>
    </row>
    <row r="7" spans="1:72" ht="6.75" customHeight="1" x14ac:dyDescent="0.25">
      <c r="B7" s="3"/>
      <c r="C7" s="116"/>
      <c r="D7" s="3"/>
      <c r="E7" s="116"/>
      <c r="F7" s="7"/>
      <c r="G7" s="121"/>
      <c r="H7" s="7"/>
      <c r="I7" s="121"/>
      <c r="J7" s="121"/>
      <c r="K7" s="121"/>
      <c r="L7" s="7"/>
      <c r="M7" s="7"/>
      <c r="N7" s="7"/>
      <c r="O7" s="121"/>
      <c r="P7" s="7"/>
      <c r="Q7" s="7"/>
      <c r="R7" s="8"/>
      <c r="S7" s="8"/>
      <c r="T7" s="8"/>
      <c r="U7" s="8"/>
      <c r="V7" s="8"/>
      <c r="W7" s="6"/>
      <c r="X7" s="6"/>
    </row>
    <row r="8" spans="1:72" ht="39.75" customHeight="1" x14ac:dyDescent="0.25">
      <c r="A8" s="471" t="s">
        <v>4</v>
      </c>
      <c r="B8" s="471"/>
      <c r="C8" s="471"/>
      <c r="D8" s="471"/>
      <c r="E8" s="75"/>
      <c r="F8" s="488" t="str">
        <f>[16]IdentRiesgo!B3</f>
        <v>Asegurar la oportuna provisión de recursos financieros necesarios para el autosostenimiento y desempeño eficaz y eficiente de la gestión financiera de la entidad mediante el registro de la ejecución presupuestal, la presentación de estados financieros y el recaudo de los ingresos y el pago de los compromisos.</v>
      </c>
      <c r="G8" s="489"/>
      <c r="H8" s="489"/>
      <c r="I8" s="489"/>
      <c r="J8" s="489"/>
      <c r="K8" s="489"/>
      <c r="L8" s="489"/>
      <c r="M8" s="489"/>
      <c r="N8" s="489"/>
      <c r="O8" s="489"/>
      <c r="P8" s="489"/>
      <c r="Q8" s="489"/>
      <c r="R8" s="489"/>
      <c r="S8" s="489"/>
      <c r="T8" s="489"/>
      <c r="U8" s="489"/>
      <c r="V8" s="490"/>
      <c r="W8" s="9"/>
      <c r="X8" s="9"/>
    </row>
    <row r="9" spans="1:72" ht="6.75" customHeight="1" x14ac:dyDescent="0.25">
      <c r="B9" s="10"/>
      <c r="C9" s="119"/>
      <c r="D9" s="10"/>
      <c r="E9" s="119"/>
      <c r="F9" s="11"/>
      <c r="G9" s="122"/>
      <c r="H9" s="11"/>
      <c r="I9" s="122"/>
      <c r="J9" s="122"/>
      <c r="K9" s="122"/>
      <c r="L9" s="11"/>
      <c r="M9" s="11"/>
      <c r="N9" s="11"/>
      <c r="O9" s="122"/>
      <c r="P9" s="11"/>
      <c r="Q9" s="11"/>
      <c r="R9" s="8"/>
      <c r="S9" s="8"/>
      <c r="T9" s="8"/>
      <c r="U9" s="8"/>
      <c r="V9" s="8"/>
      <c r="W9" s="6"/>
      <c r="X9" s="6"/>
    </row>
    <row r="10" spans="1:72" ht="15" x14ac:dyDescent="0.25">
      <c r="A10" s="471" t="s">
        <v>5</v>
      </c>
      <c r="B10" s="471"/>
      <c r="C10" s="471"/>
      <c r="D10" s="471"/>
      <c r="E10" s="75"/>
      <c r="F10" s="472" t="s">
        <v>168</v>
      </c>
      <c r="G10" s="473"/>
      <c r="H10" s="473"/>
      <c r="I10" s="473"/>
      <c r="J10" s="473"/>
      <c r="K10" s="473"/>
      <c r="L10" s="473"/>
      <c r="M10" s="473"/>
      <c r="N10" s="473"/>
      <c r="O10" s="473"/>
      <c r="P10" s="473"/>
      <c r="Q10" s="473"/>
      <c r="R10" s="473"/>
      <c r="S10" s="473"/>
      <c r="T10" s="473"/>
      <c r="U10" s="473"/>
      <c r="V10" s="474"/>
      <c r="W10" s="12"/>
      <c r="X10" s="12"/>
    </row>
    <row r="11" spans="1:72" ht="5.25" customHeight="1" x14ac:dyDescent="0.25">
      <c r="B11" s="3"/>
      <c r="C11" s="116"/>
      <c r="D11" s="3"/>
      <c r="E11" s="116"/>
      <c r="F11" s="13"/>
      <c r="G11" s="141"/>
      <c r="H11" s="13"/>
      <c r="I11" s="141"/>
      <c r="J11" s="141"/>
      <c r="K11" s="141"/>
      <c r="L11" s="13"/>
      <c r="M11" s="13"/>
      <c r="N11" s="13"/>
      <c r="O11" s="141"/>
      <c r="P11" s="13"/>
      <c r="Q11" s="13"/>
      <c r="R11" s="8"/>
      <c r="S11" s="8"/>
      <c r="T11" s="8"/>
      <c r="U11" s="8"/>
      <c r="V11" s="8"/>
      <c r="W11" s="6"/>
      <c r="X11" s="6"/>
    </row>
    <row r="12" spans="1:72" ht="15.75" x14ac:dyDescent="0.25">
      <c r="A12" s="471" t="s">
        <v>6</v>
      </c>
      <c r="B12" s="471"/>
      <c r="C12" s="471"/>
      <c r="D12" s="471"/>
      <c r="E12" s="75"/>
      <c r="F12" s="503">
        <f ca="1">NOW()</f>
        <v>43130.660336342589</v>
      </c>
      <c r="G12" s="504"/>
      <c r="H12" s="504"/>
      <c r="I12" s="504"/>
      <c r="J12" s="504"/>
      <c r="K12" s="504"/>
      <c r="L12" s="504"/>
      <c r="M12" s="504"/>
      <c r="N12" s="504"/>
      <c r="O12" s="504"/>
      <c r="P12" s="504"/>
      <c r="Q12" s="504"/>
      <c r="R12" s="504"/>
      <c r="S12" s="504"/>
      <c r="T12" s="504"/>
      <c r="U12" s="504"/>
      <c r="V12" s="505"/>
      <c r="W12" s="12"/>
      <c r="X12" s="12"/>
      <c r="AA12" s="2" t="s">
        <v>7</v>
      </c>
    </row>
    <row r="13" spans="1:72" ht="15" x14ac:dyDescent="0.25">
      <c r="B13" s="3"/>
      <c r="C13" s="116"/>
      <c r="D13" s="3"/>
      <c r="E13" s="116"/>
      <c r="F13" s="14"/>
      <c r="G13" s="123"/>
      <c r="H13" s="15"/>
      <c r="I13" s="120"/>
      <c r="J13" s="120"/>
      <c r="K13" s="120"/>
      <c r="L13" s="15"/>
      <c r="M13" s="7"/>
      <c r="N13" s="7"/>
      <c r="O13" s="121"/>
      <c r="P13" s="7"/>
      <c r="Q13" s="7"/>
      <c r="R13" s="7"/>
      <c r="S13" s="15"/>
      <c r="T13" s="7"/>
      <c r="W13" s="6"/>
      <c r="X13" s="6"/>
      <c r="AA13" s="2" t="s">
        <v>8</v>
      </c>
      <c r="AG13" s="475" t="s">
        <v>9</v>
      </c>
      <c r="AH13" s="475"/>
      <c r="AI13" s="475"/>
      <c r="AJ13" s="475"/>
      <c r="AK13" s="475"/>
      <c r="AL13" s="475"/>
      <c r="AM13" s="475"/>
      <c r="AN13" s="475"/>
      <c r="AO13" s="475"/>
      <c r="AP13" s="475"/>
      <c r="AQ13" s="475"/>
      <c r="AR13" s="475"/>
      <c r="AS13" s="475"/>
      <c r="AT13" s="475"/>
      <c r="AU13" s="475"/>
      <c r="AV13" s="475"/>
      <c r="AW13" s="475"/>
      <c r="AX13" s="475"/>
      <c r="AY13" s="475"/>
      <c r="BA13" s="475" t="s">
        <v>10</v>
      </c>
      <c r="BB13" s="475"/>
      <c r="BC13" s="475"/>
      <c r="BD13" s="475"/>
      <c r="BE13" s="475"/>
      <c r="BF13" s="475"/>
      <c r="BG13" s="475"/>
      <c r="BH13" s="475"/>
      <c r="BI13" s="475"/>
      <c r="BJ13" s="475"/>
      <c r="BK13" s="475"/>
      <c r="BL13" s="475"/>
      <c r="BM13" s="475"/>
      <c r="BN13" s="475"/>
      <c r="BO13" s="475"/>
      <c r="BP13" s="475"/>
      <c r="BQ13" s="475"/>
      <c r="BR13" s="475"/>
      <c r="BS13" s="475"/>
      <c r="BT13" s="475"/>
    </row>
    <row r="14" spans="1:72" s="17" customFormat="1" ht="15" customHeight="1" x14ac:dyDescent="0.25">
      <c r="A14" s="476" t="s">
        <v>11</v>
      </c>
      <c r="B14" s="477"/>
      <c r="C14" s="477"/>
      <c r="D14" s="478"/>
      <c r="E14" s="76"/>
      <c r="F14" s="479" t="s">
        <v>12</v>
      </c>
      <c r="G14" s="479"/>
      <c r="H14" s="479"/>
      <c r="I14" s="136"/>
      <c r="J14" s="136"/>
      <c r="K14" s="136"/>
      <c r="L14" s="476" t="s">
        <v>14</v>
      </c>
      <c r="M14" s="477"/>
      <c r="N14" s="478"/>
      <c r="O14" s="149"/>
      <c r="P14" s="483" t="s">
        <v>15</v>
      </c>
      <c r="Q14" s="483"/>
      <c r="R14" s="483"/>
      <c r="S14" s="483" t="s">
        <v>16</v>
      </c>
      <c r="T14" s="483"/>
      <c r="U14" s="483"/>
      <c r="V14" s="479"/>
    </row>
    <row r="15" spans="1:72" s="17" customFormat="1" ht="14.25" customHeight="1" x14ac:dyDescent="0.25">
      <c r="A15" s="481" t="s">
        <v>17</v>
      </c>
      <c r="B15" s="481" t="s">
        <v>18</v>
      </c>
      <c r="C15" s="150"/>
      <c r="D15" s="481" t="s">
        <v>19</v>
      </c>
      <c r="E15" s="150"/>
      <c r="F15" s="461" t="s">
        <v>20</v>
      </c>
      <c r="G15" s="461"/>
      <c r="H15" s="461"/>
      <c r="I15" s="146"/>
      <c r="J15" s="180"/>
      <c r="K15" s="180"/>
      <c r="L15" s="466" t="s">
        <v>21</v>
      </c>
      <c r="M15" s="467"/>
      <c r="N15" s="468"/>
      <c r="O15" s="148"/>
      <c r="P15" s="466" t="s">
        <v>22</v>
      </c>
      <c r="Q15" s="467"/>
      <c r="R15" s="468"/>
      <c r="S15" s="461" t="s">
        <v>23</v>
      </c>
      <c r="T15" s="461" t="s">
        <v>24</v>
      </c>
      <c r="U15" s="461" t="s">
        <v>5</v>
      </c>
      <c r="V15" s="461" t="s">
        <v>25</v>
      </c>
      <c r="W15" s="324"/>
    </row>
    <row r="16" spans="1:72" s="17" customFormat="1" ht="63" customHeight="1" thickBot="1" x14ac:dyDescent="0.3">
      <c r="A16" s="484"/>
      <c r="B16" s="484"/>
      <c r="C16" s="151" t="s">
        <v>77</v>
      </c>
      <c r="D16" s="484"/>
      <c r="E16" s="151" t="s">
        <v>78</v>
      </c>
      <c r="F16" s="18" t="s">
        <v>26</v>
      </c>
      <c r="G16" s="146" t="s">
        <v>77</v>
      </c>
      <c r="H16" s="18" t="s">
        <v>10</v>
      </c>
      <c r="I16" s="146" t="s">
        <v>77</v>
      </c>
      <c r="J16" s="180" t="s">
        <v>27</v>
      </c>
      <c r="K16" s="180" t="s">
        <v>80</v>
      </c>
      <c r="L16" s="18" t="s">
        <v>26</v>
      </c>
      <c r="M16" s="18" t="s">
        <v>10</v>
      </c>
      <c r="N16" s="20" t="s">
        <v>27</v>
      </c>
      <c r="O16" s="151" t="s">
        <v>81</v>
      </c>
      <c r="P16" s="18" t="s">
        <v>28</v>
      </c>
      <c r="Q16" s="18" t="s">
        <v>24</v>
      </c>
      <c r="R16" s="18" t="s">
        <v>29</v>
      </c>
      <c r="S16" s="461"/>
      <c r="T16" s="461"/>
      <c r="U16" s="461"/>
      <c r="V16" s="461"/>
      <c r="W16" s="324"/>
    </row>
    <row r="17" spans="1:70" ht="354.75" customHeight="1" x14ac:dyDescent="0.25">
      <c r="A17" s="186" t="s">
        <v>152</v>
      </c>
      <c r="B17" s="187" t="s">
        <v>153</v>
      </c>
      <c r="C17" s="188" t="s">
        <v>154</v>
      </c>
      <c r="D17" s="189" t="s">
        <v>155</v>
      </c>
      <c r="E17" s="190" t="s">
        <v>89</v>
      </c>
      <c r="F17" s="191">
        <v>2</v>
      </c>
      <c r="G17" s="192" t="s">
        <v>96</v>
      </c>
      <c r="H17" s="208">
        <v>20</v>
      </c>
      <c r="I17" s="193" t="s">
        <v>92</v>
      </c>
      <c r="J17" s="194" t="s">
        <v>43</v>
      </c>
      <c r="K17" s="195" t="s">
        <v>156</v>
      </c>
      <c r="L17" s="185" t="s">
        <v>10</v>
      </c>
      <c r="M17" s="528" t="s">
        <v>40</v>
      </c>
      <c r="N17" s="529"/>
      <c r="O17" s="212" t="s">
        <v>93</v>
      </c>
      <c r="P17" s="196" t="s">
        <v>150</v>
      </c>
      <c r="Q17" s="197" t="s">
        <v>157</v>
      </c>
      <c r="R17" s="198" t="s">
        <v>158</v>
      </c>
      <c r="S17" s="351"/>
      <c r="T17" s="361"/>
      <c r="U17" s="361" t="s">
        <v>260</v>
      </c>
      <c r="V17" s="353" t="s">
        <v>261</v>
      </c>
      <c r="W17" s="125"/>
      <c r="X17" s="323" t="str">
        <f>IF(AND(F17=1,H17=5),$H$23,IF(AND(F17=1,H17=10),#REF!,IF(AND(F17=1,H17=20),#REF!," ")))</f>
        <v xml:space="preserve"> </v>
      </c>
      <c r="Y17" s="26" t="e">
        <f>IF(AND(F17=2,H17=5),$H$24,IF(AND(F17=2,H17=10),#REF!,IF(AND(F17=2,H17=20),#REF!," ")))</f>
        <v>#REF!</v>
      </c>
      <c r="Z17" s="26" t="str">
        <f>IF(AND(F17=3,H17=5),$H$25,IF(AND(F17=3,H17=10),#REF!,IF(AND(F17=3,H17=20),#REF!," ")))</f>
        <v xml:space="preserve"> </v>
      </c>
      <c r="AA17" s="26" t="str">
        <f>IF(AND(F17=4,H17=5),$H$26,IF(AND(F17=4,H17=10),#REF!,IF(AND(F17=4,H17=20),#REF!," ")))</f>
        <v xml:space="preserve"> </v>
      </c>
      <c r="AB17" s="26" t="str">
        <f>IF(AND(F17=5,H17=5),$H$27,IF(AND(F17=5,H17=10),#REF!,IF(AND(F17=5,H17=20),#REF!," ")))</f>
        <v xml:space="preserve"> </v>
      </c>
      <c r="AD17" s="27" t="s">
        <v>31</v>
      </c>
      <c r="AE17" s="26" t="str">
        <f>IF(AND(L17&gt;0,'[16]EvaluaciónRiesgoCorrup (1)'!$F$11&gt;75,F17=1,H17=5),$H$23,IF(AND(L17&gt;0,'[16]EvaluaciónRiesgoCorrup (1)'!$F$11&gt;75,F17=1,H17=10),#REF!,IF(AND(L17&gt;0,'[16]EvaluaciónRiesgoCorrup (1)'!$F$11&gt;75,F17=1,H17=20),#REF!," ")))</f>
        <v xml:space="preserve"> </v>
      </c>
      <c r="AF17" s="26" t="e">
        <f>IF(AND(L17&gt;0,'[16]EvaluaciónRiesgoCorrup (1)'!$F$11&gt;75,F17=2,H17=5),$H$23,IF(AND(L17&gt;0,'[16]EvaluaciónRiesgoCorrup (1)'!$F$11&gt;75,F17=2,H17=10),#REF!,IF(AND(L17&gt;0,'[16]EvaluaciónRiesgoCorrup (1)'!$F$11&gt;75,F17=2,H17=20),#REF!," ")))</f>
        <v>#REF!</v>
      </c>
      <c r="AG17" s="26" t="str">
        <f>IF(AND(L17&gt;0,'[16]EvaluaciónRiesgoCorrup (1)'!$F$11&gt;75,F17=3,H17=5),$H$23,IF(AND(L17&gt;0,'[16]EvaluaciónRiesgoCorrup (1)'!$F$11&gt;75,F17=3,H17=10),#REF!,IF(AND(L17&gt;0,'[16]EvaluaciónRiesgoCorrup (1)'!$F$11&gt;75,F17=3,H17=20),#REF!," ")))</f>
        <v xml:space="preserve"> </v>
      </c>
      <c r="AH17" s="26" t="str">
        <f>IF(AND(L17&gt;0,'[16]EvaluaciónRiesgoCorrup (1)'!$F$11&gt;75,F17=4,H17=5),$H$24,IF(AND(L17&gt;0,'[16]EvaluaciónRiesgoCorrup (1)'!$F$11&gt;75,F17=4,H17=10),#REF!,IF(AND(L17&gt;0,'[16]EvaluaciónRiesgoCorrup (1)'!$F$11&gt;75,F17=4,H17=20),#REF!," ")))</f>
        <v xml:space="preserve"> </v>
      </c>
      <c r="AI17" s="26" t="str">
        <f>IF(AND(L17&gt;0,'[16]EvaluaciónRiesgoCorrup (1)'!$F$11&gt;75,F17=5,H17=5),$H$25,IF(AND(L17&gt;0,'[16]EvaluaciónRiesgoCorrup (1)'!$F$11&gt;75,F17=5,H17=10),#REF!,IF(AND(L17&gt;0,'[16]EvaluaciónRiesgoCorrup (1)'!$F$11&gt;75,F17=5,H17=20),#REF!," ")))</f>
        <v xml:space="preserve"> </v>
      </c>
      <c r="AJ17" s="27" t="s">
        <v>32</v>
      </c>
      <c r="AK17" s="26" t="str">
        <f>IF(AND(L17&gt;0,'[16]EvaluaciónRiesgoCorrup (1)'!$F$11&gt;50,'[16]EvaluaciónRiesgoCorrup (1)'!$F$11&lt;76,F17=1,H17=5),$H$23,IF(AND(L17&gt;0,'[16]EvaluaciónRiesgoCorrup (1)'!$F$11&gt;50,'[16]EvaluaciónRiesgoCorrup (1)'!$F$11&lt;76,F17=1,H17=10),#REF!,IF(AND(L17&gt;0,'[16]EvaluaciónRiesgoCorrup (1)'!$F$11&gt;50,'[16]EvaluaciónRiesgoCorrup (1)'!$F$11&lt;76,F17=1,H17=20),#REF!," ")))</f>
        <v xml:space="preserve"> </v>
      </c>
      <c r="AL17" s="26" t="str">
        <f>IF(AND(L17&gt;0,'[16]EvaluaciónRiesgoCorrup (1)'!$F$11&gt;50,'[16]EvaluaciónRiesgoCorrup (1)'!$F$11&lt;76,F17=2,H17=5),$H$23,IF(AND(L17&gt;0,'[16]EvaluaciónRiesgoCorrup (1)'!$F$11&gt;50,'[16]EvaluaciónRiesgoCorrup (1)'!$F$11&lt;76,F17=2,H17=10),#REF!,IF(AND(L17&gt;0,'[16]EvaluaciónRiesgoCorrup (1)'!$F$11&gt;50,'[16]EvaluaciónRiesgoCorrup (1)'!$F$11&lt;76,F17=2,H17=20),#REF!," ")))</f>
        <v xml:space="preserve"> </v>
      </c>
      <c r="AM17" s="26" t="str">
        <f>IF(AND(L17&gt;0,'[16]EvaluaciónRiesgoCorrup (1)'!$F$11&gt;50,'[16]EvaluaciónRiesgoCorrup (1)'!$F$11&lt;76,F17=3,H17=5),$H$24,IF(AND(L17&gt;0,'[16]EvaluaciónRiesgoCorrup (1)'!$F$11&gt;50,'[16]EvaluaciónRiesgoCorrup (1)'!$F$11&lt;76,F17=3,H17=10),#REF!,IF(AND(L17&gt;0,'[16]EvaluaciónRiesgoCorrup (1)'!$F$11&gt;50,'[16]EvaluaciónRiesgoCorrup (1)'!$F$11&lt;76,F17=3,H17=20),#REF!," ")))</f>
        <v xml:space="preserve"> </v>
      </c>
      <c r="AN17" s="26" t="str">
        <f>IF(AND(L17&gt;0,'[16]EvaluaciónRiesgoCorrup (1)'!$F$11&gt;50,'[16]EvaluaciónRiesgoCorrup (1)'!$F$11&lt;76,F17=4,H17=5),$H$25,IF(AND(L17&gt;0,'[16]EvaluaciónRiesgoCorrup (1)'!$F$11&gt;50,'[16]EvaluaciónRiesgoCorrup (1)'!$F$11&lt;76,F17=4,H17=10),#REF!,IF(AND(L17&gt;0,'[16]EvaluaciónRiesgoCorrup (1)'!$F$11&gt;50,'[16]EvaluaciónRiesgoCorrup (1)'!$F$11&lt;76,F17=4,H17=20),#REF!," ")))</f>
        <v xml:space="preserve"> </v>
      </c>
      <c r="AO17" s="26" t="str">
        <f>IF(AND(L17&gt;0,'[16]EvaluaciónRiesgoCorrup (1)'!$F$11&gt;50,'[16]EvaluaciónRiesgoCorrup (1)'!$F$11&lt;76,F17=5,H17=5),$H$26,IF(AND(L17&gt;0,'[16]EvaluaciónRiesgoCorrup (1)'!$F$11&gt;50,'[16]EvaluaciónRiesgoCorrup (1)'!$F$11&lt;76,F17=5,H17=10),#REF!,IF(AND(L17&gt;0,'[16]EvaluaciónRiesgoCorrup (1)'!$F$11&gt;50,'[16]EvaluaciónRiesgoCorrup (1)'!$F$11&lt;76,F17=5,H17=20),#REF!," ")))</f>
        <v xml:space="preserve"> </v>
      </c>
      <c r="AQ17" s="27" t="s">
        <v>33</v>
      </c>
      <c r="AR17" s="26" t="str">
        <f>IF(AND(L17&gt;0,'[16]EvaluaciónRiesgoCorrup (1)'!$F$11&lt;51,F17=1,H17=5),$H$23,IF(AND(L17&gt;0,'[16]EvaluaciónRiesgoCorrup (1)'!$F$11&lt;51,F17=1,H17=10),#REF!,IF(AND(L17&gt;0,'[16]EvaluaciónRiesgoCorrup (1)'!$F$11&lt;51,F17=1,H17=20),#REF!," ")))</f>
        <v xml:space="preserve"> </v>
      </c>
      <c r="AS17" s="26" t="str">
        <f>IF(AND(L17&gt;0,'[16]EvaluaciónRiesgoCorrup (1)'!$F$11&lt;51,F17=2,H17=5),$H$24,IF(AND(L17&gt;0,'[16]EvaluaciónRiesgoCorrup (1)'!$F$11&lt;51,F17=2,H17=10),#REF!,IF(AND(L17&gt;0,'[16]EvaluaciónRiesgoCorrup (1)'!$F$11&lt;51,F17=2,H17=20),#REF!," ")))</f>
        <v xml:space="preserve"> </v>
      </c>
      <c r="AT17" s="26" t="str">
        <f>IF(AND(L17&gt;0,'[16]EvaluaciónRiesgoCorrup (1)'!$F$11&lt;51,F17=3,H17=5),$H$25,IF(AND(L17&gt;0,'[16]EvaluaciónRiesgoCorrup (1)'!$F$11&lt;51,F17=3,H17=10),#REF!,IF(AND(L17&gt;0,'[16]EvaluaciónRiesgoCorrup (1)'!$F$11&lt;51,F17=3,H17=20),#REF!," ")))</f>
        <v xml:space="preserve"> </v>
      </c>
      <c r="AU17" s="26" t="str">
        <f>IF(AND(L17&gt;0,'[16]EvaluaciónRiesgoCorrup (1)'!$F$11&lt;51,F17=4,H17=5),$H$26,IF(AND(L17&gt;0,'[16]EvaluaciónRiesgoCorrup (1)'!$F$11&lt;51,F17=4,H17=10),#REF!,IF(AND(L17&gt;0,'[16]EvaluaciónRiesgoCorrup (1)'!$F$11&lt;51,F17=4,H17=20),#REF!," ")))</f>
        <v xml:space="preserve"> </v>
      </c>
      <c r="AV17" s="26" t="str">
        <f>IF(AND(L17&gt;0,'[16]EvaluaciónRiesgoCorrup (1)'!$F$11&lt;51,F17=5,H17=5),$H$27,IF(AND(L17&gt;0,'[16]EvaluaciónRiesgoCorrup (1)'!$F$11&lt;51,F17=5,H17=10),#REF!,IF(AND(L17&gt;0,'[16]EvaluaciónRiesgoCorrup (1)'!$F$11&lt;51,F17=5,H17=20),#REF!," ")))</f>
        <v xml:space="preserve"> </v>
      </c>
      <c r="AY17" s="27" t="s">
        <v>31</v>
      </c>
      <c r="AZ17" s="26" t="str">
        <f>IF(AND(M17&gt;0,'[16]EvaluaciónRiesgoCorrup (1)'!$F$11&gt;75,F17=1,H17=5),$H$23,IF(AND(M17&gt;0,'[16]EvaluaciónRiesgoCorrup (1)'!$F$11&gt;75,F17=1,H17=10),$H$23,IF(AND(M17&gt;0,'[16]EvaluaciónRiesgoCorrup (1)'!$F$11&gt;75,F17=1,H17=20),$H$23," ")))</f>
        <v xml:space="preserve"> </v>
      </c>
      <c r="BA17" s="26" t="str">
        <f>IF(AND(M17&gt;0,'[16]EvaluaciónRiesgoCorrup (1)'!$F$11&gt;75,F17=2,H17=5),$H$24,IF(AND(M17&gt;0,'[16]EvaluaciónRiesgoCorrup (1)'!$F$11&gt;75,F17=2,H17=10),$H$24,IF(AND(M17&gt;0,'[16]EvaluaciónRiesgoCorrup (1)'!$F$11&gt;75,F17=2,H17=20),$H$24," ")))</f>
        <v>B</v>
      </c>
      <c r="BB17" s="26" t="str">
        <f>IF(AND(M17&gt;0,'[16]EvaluaciónRiesgoCorrup (1)'!$F$11&gt;75,F17=3,H17=5),$H$25,IF(AND(M17&gt;0,'[16]EvaluaciónRiesgoCorrup (1)'!$F$11&gt;75,F17=3,H17=10),$H$25,IF(AND(M17&gt;0,'[16]EvaluaciónRiesgoCorrup (1)'!$F$11&gt;75,F17=3,H17=20),$H$25," ")))</f>
        <v xml:space="preserve"> </v>
      </c>
      <c r="BC17" s="26" t="str">
        <f>IF(AND(M17&gt;0,'[16]EvaluaciónRiesgoCorrup (1)'!$F$11&gt;75,F17=4,H17=5),$H$26,IF(AND(M17&gt;0,'[16]EvaluaciónRiesgoCorrup (1)'!$F$11&gt;75,F17=4,H17=10),$H$26,IF(AND(M17&gt;0,'[16]EvaluaciónRiesgoCorrup (1)'!$F$11&gt;75,F17=4,H17=20),$H$26," ")))</f>
        <v xml:space="preserve"> </v>
      </c>
      <c r="BD17" s="26" t="str">
        <f>IF(AND(M17&gt;0,'[16]EvaluaciónRiesgoCorrup (1)'!$F$11&gt;75,F17=5,H17=5),$H$27,IF(AND(M17&gt;0,'[16]EvaluaciónRiesgoCorrup (1)'!$F$11&gt;75,F17=5,H17=10),$H$27,IF(AND(M17&gt;0,'[16]EvaluaciónRiesgoCorrup (1)'!$F$11&gt;75,F17=5,H17=20),$H$27," ")))</f>
        <v xml:space="preserve"> </v>
      </c>
      <c r="BF17" s="27" t="s">
        <v>32</v>
      </c>
      <c r="BG17" s="26" t="str">
        <f>IF(AND(M17&gt;0,'[16]EvaluaciónRiesgoCorrup (1)'!$F$11&gt;50,'[16]EvaluaciónRiesgoCorrup (1)'!$F$11&lt;76,F17=1,H17=5),$H$23,IF(AND(M17&gt;0,'[16]EvaluaciónRiesgoCorrup (1)'!$F$11&gt;50,'[16]EvaluaciónRiesgoCorrup (1)'!$F$11&lt;76,F17=1,H17=10),$H$23,IF(AND(M17&gt;0,'[16]EvaluaciónRiesgoCorrup (1)'!$F$11&gt;50,'[16]EvaluaciónRiesgoCorrup (1)'!$F$11&lt;76,F17=1,H17=20),#REF!," ")))</f>
        <v xml:space="preserve"> </v>
      </c>
      <c r="BH17" s="26" t="str">
        <f>IF(AND(M17&gt;0,'[16]EvaluaciónRiesgoCorrup (1)'!$F$11&gt;50,'[16]EvaluaciónRiesgoCorrup (1)'!$F$11&lt;76,F17=2,H17=5),$H$24,IF(AND(M17&gt;0,'[16]EvaluaciónRiesgoCorrup (1)'!$F$11&gt;50,'[16]EvaluaciónRiesgoCorrup (1)'!$F$11&lt;76,F17=2,H17=10),$H$24,IF(AND(M17&gt;0,'[16]EvaluaciónRiesgoCorrup (1)'!$F$11&gt;50,'[16]EvaluaciónRiesgoCorrup (1)'!$F$11&lt;76,F17=2,H17=20),#REF!," ")))</f>
        <v xml:space="preserve"> </v>
      </c>
      <c r="BI17" s="26" t="str">
        <f>IF(AND(M17&gt;0,'[16]EvaluaciónRiesgoCorrup (1)'!$F$11&gt;50,'[16]EvaluaciónRiesgoCorrup (1)'!$F$11&lt;76,F17=3,H17=5),$H$25,IF(AND(M17&gt;0,'[16]EvaluaciónRiesgoCorrup (1)'!$F$11&gt;50,'[16]EvaluaciónRiesgoCorrup (1)'!$F$11&lt;76,F17=3,H17=10),$H$25,IF(AND(M17&gt;0,'[16]EvaluaciónRiesgoCorrup (1)'!$F$11&gt;50,'[16]EvaluaciónRiesgoCorrup (1)'!$F$11&lt;76,F17=3,H17=20),#REF!," ")))</f>
        <v xml:space="preserve"> </v>
      </c>
      <c r="BJ17" s="26" t="str">
        <f>IF(AND(M17&gt;0,'[16]EvaluaciónRiesgoCorrup (1)'!$F$11&gt;50,'[16]EvaluaciónRiesgoCorrup (1)'!$F$11&lt;76,F17=4,H17=5),$H$26,IF(AND(M17&gt;0,'[16]EvaluaciónRiesgoCorrup (1)'!$F$11&gt;50,'[16]EvaluaciónRiesgoCorrup (1)'!$F$11&lt;76,F17=4,H17=10),$H$26,IF(AND(M17&gt;0,'[16]EvaluaciónRiesgoCorrup (1)'!$F$11&gt;50,'[16]EvaluaciónRiesgoCorrup (1)'!$F$11&lt;76,F17=4,H17=20),#REF!," ")))</f>
        <v xml:space="preserve"> </v>
      </c>
      <c r="BK17" s="26" t="str">
        <f>IF(AND(M17&gt;0,'[16]EvaluaciónRiesgoCorrup (1)'!$F$11&gt;50,'[16]EvaluaciónRiesgoCorrup (1)'!$F$11&lt;76,F17=5,H17=5),$H$27,IF(AND(M17&gt;0,'[16]EvaluaciónRiesgoCorrup (1)'!$F$11&gt;50,'[16]EvaluaciónRiesgoCorrup (1)'!$F$11&lt;76,F17=5,H17=10),$H$27,IF(AND(M17&gt;0,'[16]EvaluaciónRiesgoCorrup (1)'!$F$11&gt;50,'[16]EvaluaciónRiesgoCorrup (1)'!$F$11&lt;76,F17=5,H17=20),#REF!," ")))</f>
        <v xml:space="preserve"> </v>
      </c>
      <c r="BM17" s="27" t="s">
        <v>33</v>
      </c>
      <c r="BN17" s="26" t="str">
        <f>IF(AND(M17&gt;0,'[16]EvaluaciónRiesgoCorrup (1)'!$F$11&lt;51,F17=1,H17=5),$H$23,IF(AND(M17&gt;0,'[16]EvaluaciónRiesgoCorrup (1)'!$F$11&lt;51,F17=1,H17=10),#REF!,IF(AND(M17&gt;0,'[16]EvaluaciónRiesgoCorrup (1)'!$F$11&lt;51,F17=1,H17=20),#REF!," ")))</f>
        <v xml:space="preserve"> </v>
      </c>
      <c r="BO17" s="26" t="str">
        <f>IF(AND(M17&gt;0,'[16]EvaluaciónRiesgoCorrup (1)'!$F$11&lt;51,F17=2,H17=5),$H$24,IF(AND(M17&gt;0,'[16]EvaluaciónRiesgoCorrup (1)'!$F$11&lt;51,F17=2,H17=10),#REF!,IF(AND(M17&gt;0,'[16]EvaluaciónRiesgoCorrup (1)'!$F$11&lt;51,F17=2,H17=20),#REF!," ")))</f>
        <v xml:space="preserve"> </v>
      </c>
      <c r="BP17" s="26" t="str">
        <f>IF(AND(M17&gt;0,'[16]EvaluaciónRiesgoCorrup (1)'!$F$11&lt;51,F17=3,H17=5),$H$25,IF(AND(M17&gt;0,'[16]EvaluaciónRiesgoCorrup (1)'!$F$11&lt;51,F17=3,H17=10),#REF!,IF(AND(M17&gt;0,'[16]EvaluaciónRiesgoCorrup (1)'!$F$11&lt;51,F17=3,H17=20),#REF!," ")))</f>
        <v xml:space="preserve"> </v>
      </c>
      <c r="BQ17" s="26" t="str">
        <f>IF(AND(M17&gt;0,'[16]EvaluaciónRiesgoCorrup (1)'!$F$11&lt;51,F17=4,H17=5),$H$26,IF(AND(M17&gt;0,'[16]EvaluaciónRiesgoCorrup (1)'!$F$11&lt;51,F17=4,H17=10),#REF!,IF(AND(M17&gt;0,'[16]EvaluaciónRiesgoCorrup (1)'!$F$11&lt;51,F17=4,H17=20),#REF!," ")))</f>
        <v xml:space="preserve"> </v>
      </c>
      <c r="BR17" s="26" t="str">
        <f>IF(AND(M17&gt;0,'[16]EvaluaciónRiesgoCorrup (1)'!$F$11&lt;51,F17=5,H17=5),$H$27,IF(AND(M17&gt;0,'[16]EvaluaciónRiesgoCorrup (1)'!$F$11&lt;51,F17=5,H17=10),#REF!,IF(AND(M17&gt;0,'[16]EvaluaciónRiesgoCorrup (1)'!$F$11&lt;51,F17=5,H17=20),#REF!," ")))</f>
        <v xml:space="preserve"> </v>
      </c>
    </row>
    <row r="18" spans="1:70" ht="230.25" customHeight="1" x14ac:dyDescent="0.25">
      <c r="A18" s="199" t="s">
        <v>145</v>
      </c>
      <c r="B18" s="200" t="s">
        <v>146</v>
      </c>
      <c r="C18" s="201" t="s">
        <v>147</v>
      </c>
      <c r="D18" s="202" t="s">
        <v>148</v>
      </c>
      <c r="E18" s="203" t="s">
        <v>89</v>
      </c>
      <c r="F18" s="204">
        <v>1</v>
      </c>
      <c r="G18" s="205" t="s">
        <v>91</v>
      </c>
      <c r="H18" s="206">
        <v>20</v>
      </c>
      <c r="I18" s="207" t="s">
        <v>92</v>
      </c>
      <c r="J18" s="209" t="s">
        <v>41</v>
      </c>
      <c r="K18" s="210" t="s">
        <v>149</v>
      </c>
      <c r="L18" s="526" t="s">
        <v>10</v>
      </c>
      <c r="M18" s="527"/>
      <c r="N18" s="211" t="s">
        <v>40</v>
      </c>
      <c r="O18" s="212" t="s">
        <v>93</v>
      </c>
      <c r="P18" s="213" t="s">
        <v>150</v>
      </c>
      <c r="Q18" s="214" t="s">
        <v>151</v>
      </c>
      <c r="R18" s="215" t="s">
        <v>169</v>
      </c>
      <c r="S18" s="352"/>
      <c r="T18" s="361"/>
      <c r="U18" s="361" t="s">
        <v>260</v>
      </c>
      <c r="V18" s="325"/>
      <c r="W18" s="448"/>
      <c r="X18" s="26"/>
      <c r="Y18" s="26"/>
      <c r="Z18" s="26"/>
      <c r="AA18" s="26" t="str">
        <f>IF(AND(F18=4,H18=5),$H$26,IF(AND(F18=4,H18=10),#REF!,IF(AND(F18=4,H18=20),#REF!," ")))</f>
        <v xml:space="preserve"> </v>
      </c>
      <c r="AB18" s="26" t="str">
        <f>IF(AND(F18=5,H18=5),$H$27,IF(AND(F18=5,H18=10),#REF!,IF(AND(F18=5,H18=20),#REF!," ")))</f>
        <v xml:space="preserve"> </v>
      </c>
      <c r="AE18" s="26" t="e">
        <f>IF(AND(L18&gt;0,'[16]EvaluaciónRiesgoCorrup (1)'!$F$11&gt;75,F18=1,H18=5),$H$23,IF(AND(L18&gt;0,'[16]EvaluaciónRiesgoCorrup (1)'!$F$11&gt;75,F18=1,H18=10),#REF!,IF(AND(L18&gt;0,'[16]EvaluaciónRiesgoCorrup (1)'!$F$11&gt;75,F18=1,H18=20),#REF!," ")))</f>
        <v>#REF!</v>
      </c>
      <c r="AF18" s="26" t="str">
        <f>IF(AND(L18&gt;0,'[16]EvaluaciónRiesgoCorrup (1)'!$F$11&gt;75,F18=2,H18=5),$H$23,IF(AND(L18&gt;0,'[16]EvaluaciónRiesgoCorrup (1)'!$F$11&gt;75,F18=2,H18=10),#REF!,IF(AND(L18&gt;0,'[16]EvaluaciónRiesgoCorrup (1)'!$F$11&gt;75,F18=2,H18=20),#REF!," ")))</f>
        <v xml:space="preserve"> </v>
      </c>
      <c r="AG18" s="26" t="str">
        <f>IF(AND(L18&gt;0,'[16]EvaluaciónRiesgoCorrup (1)'!$F$11&gt;75,F18=3,H18=5),$H$23,IF(AND(L18&gt;0,'[16]EvaluaciónRiesgoCorrup (1)'!$F$11&gt;75,F18=3,H18=10),#REF!,IF(AND(L18&gt;0,'[16]EvaluaciónRiesgoCorrup (1)'!$F$11&gt;75,F18=3,H18=20),#REF!," ")))</f>
        <v xml:space="preserve"> </v>
      </c>
      <c r="AH18" s="26" t="str">
        <f>IF(AND(L18&gt;0,'[16]EvaluaciónRiesgoCorrup (1)'!$F$11&gt;75,F18=4,H18=5),$H$24,IF(AND(L18&gt;0,'[16]EvaluaciónRiesgoCorrup (1)'!$F$11&gt;75,F18=4,H18=10),#REF!,IF(AND(L18&gt;0,'[16]EvaluaciónRiesgoCorrup (1)'!$F$11&gt;75,F18=4,H18=20),#REF!," ")))</f>
        <v xml:space="preserve"> </v>
      </c>
      <c r="AI18" s="26" t="str">
        <f>IF(AND(L18&gt;0,'[16]EvaluaciónRiesgoCorrup (1)'!$F$11&gt;75,F18=5,H18=5),$H$25,IF(AND(L18&gt;0,'[16]EvaluaciónRiesgoCorrup (1)'!$F$11&gt;75,F18=5,H18=10),#REF!,IF(AND(L18&gt;0,'[16]EvaluaciónRiesgoCorrup (1)'!$F$11&gt;75,F18=5,H18=20),#REF!," ")))</f>
        <v xml:space="preserve"> </v>
      </c>
      <c r="AK18" s="26" t="str">
        <f>IF(AND(L18&gt;0,'[16]EvaluaciónRiesgoCorrup (1)'!$F$11&gt;50,'[16]EvaluaciónRiesgoCorrup (1)'!$F$11&lt;76,F18=1,H18=5),$H$23,IF(AND(L18&gt;0,'[16]EvaluaciónRiesgoCorrup (1)'!$F$11&gt;50,'[16]EvaluaciónRiesgoCorrup (1)'!$F$11&lt;76,F18=1,H18=10),#REF!,IF(AND(L18&gt;0,'[16]EvaluaciónRiesgoCorrup (1)'!$F$11&gt;50,'[16]EvaluaciónRiesgoCorrup (1)'!$F$11&lt;76,F18=1,H18=20),#REF!," ")))</f>
        <v xml:space="preserve"> </v>
      </c>
      <c r="AL18" s="26" t="str">
        <f>IF(AND(L18&gt;0,'[16]EvaluaciónRiesgoCorrup (1)'!$F$11&gt;50,'[16]EvaluaciónRiesgoCorrup (1)'!$F$11&lt;76,F18=2,H18=5),$H$23,IF(AND(L18&gt;0,'[16]EvaluaciónRiesgoCorrup (1)'!$F$11&gt;50,'[16]EvaluaciónRiesgoCorrup (1)'!$F$11&lt;76,F18=2,H18=10),#REF!,IF(AND(L18&gt;0,'[16]EvaluaciónRiesgoCorrup (1)'!$F$11&gt;50,'[16]EvaluaciónRiesgoCorrup (1)'!$F$11&lt;76,F18=2,H18=20),#REF!," ")))</f>
        <v xml:space="preserve"> </v>
      </c>
      <c r="AM18" s="26" t="str">
        <f>IF(AND(L18&gt;0,'[16]EvaluaciónRiesgoCorrup (1)'!$F$11&gt;50,'[16]EvaluaciónRiesgoCorrup (1)'!$F$11&lt;76,F18=3,H18=5),$H$24,IF(AND(L18&gt;0,'[16]EvaluaciónRiesgoCorrup (1)'!$F$11&gt;50,'[16]EvaluaciónRiesgoCorrup (1)'!$F$11&lt;76,F18=3,H18=10),#REF!,IF(AND(L18&gt;0,'[16]EvaluaciónRiesgoCorrup (1)'!$F$11&gt;50,'[16]EvaluaciónRiesgoCorrup (1)'!$F$11&lt;76,F18=3,H18=20),#REF!," ")))</f>
        <v xml:space="preserve"> </v>
      </c>
      <c r="AN18" s="26" t="str">
        <f>IF(AND(L18&gt;0,'[16]EvaluaciónRiesgoCorrup (1)'!$F$11&gt;50,'[16]EvaluaciónRiesgoCorrup (1)'!$F$11&lt;76,F18=4,H18=5),$H$25,IF(AND(L18&gt;0,'[16]EvaluaciónRiesgoCorrup (1)'!$F$11&gt;50,'[16]EvaluaciónRiesgoCorrup (1)'!$F$11&lt;76,F18=4,H18=10),#REF!,IF(AND(L18&gt;0,'[16]EvaluaciónRiesgoCorrup (1)'!$F$11&gt;50,'[16]EvaluaciónRiesgoCorrup (1)'!$F$11&lt;76,F18=4,H18=20),#REF!," ")))</f>
        <v xml:space="preserve"> </v>
      </c>
      <c r="AO18" s="26" t="str">
        <f>IF(AND(L18&gt;0,'[16]EvaluaciónRiesgoCorrup (1)'!$F$11&gt;50,'[16]EvaluaciónRiesgoCorrup (1)'!$F$11&lt;76,F18=5,H18=5),$H$26,IF(AND(L18&gt;0,'[16]EvaluaciónRiesgoCorrup (1)'!$F$11&gt;50,'[16]EvaluaciónRiesgoCorrup (1)'!$F$11&lt;76,F18=5,H18=10),#REF!,IF(AND(L18&gt;0,'[16]EvaluaciónRiesgoCorrup (1)'!$F$11&gt;50,'[16]EvaluaciónRiesgoCorrup (1)'!$F$11&lt;76,F18=5,H18=20),#REF!," ")))</f>
        <v xml:space="preserve"> </v>
      </c>
      <c r="AR18" s="26" t="str">
        <f>IF(AND(L18&gt;0,'[16]EvaluaciónRiesgoCorrup (1)'!$F$11&lt;51,F18=1,H18=5),$H$23,IF(AND(L18&gt;0,'[16]EvaluaciónRiesgoCorrup (1)'!$F$11&lt;51,F18=1,H18=10),#REF!,IF(AND(L18&gt;0,'[16]EvaluaciónRiesgoCorrup (1)'!$F$11&lt;51,F18=1,H18=20),#REF!," ")))</f>
        <v xml:space="preserve"> </v>
      </c>
      <c r="AS18" s="26" t="str">
        <f>IF(AND(L18&gt;0,'[16]EvaluaciónRiesgoCorrup (1)'!$F$11&lt;51,F18=2,H18=5),$H$24,IF(AND(L18&gt;0,'[16]EvaluaciónRiesgoCorrup (1)'!$F$11&lt;51,F18=2,H18=10),#REF!,IF(AND(L18&gt;0,'[16]EvaluaciónRiesgoCorrup (1)'!$F$11&lt;51,F18=2,H18=20),#REF!," ")))</f>
        <v xml:space="preserve"> </v>
      </c>
      <c r="AT18" s="26" t="str">
        <f>IF(AND(L18&gt;0,'[16]EvaluaciónRiesgoCorrup (1)'!$F$11&lt;51,F18=3,H18=5),$H$25,IF(AND(L18&gt;0,'[16]EvaluaciónRiesgoCorrup (1)'!$F$11&lt;51,F18=3,H18=10),#REF!,IF(AND(L18&gt;0,'[16]EvaluaciónRiesgoCorrup (1)'!$F$11&lt;51,F18=3,H18=20),#REF!," ")))</f>
        <v xml:space="preserve"> </v>
      </c>
      <c r="AU18" s="26" t="str">
        <f>IF(AND(L18&gt;0,'[16]EvaluaciónRiesgoCorrup (1)'!$F$11&lt;51,F18=4,H18=5),$H$26,IF(AND(L18&gt;0,'[16]EvaluaciónRiesgoCorrup (1)'!$F$11&lt;51,F18=4,H18=10),#REF!,IF(AND(L18&gt;0,'[16]EvaluaciónRiesgoCorrup (1)'!$F$11&lt;51,F18=4,H18=20),#REF!," ")))</f>
        <v xml:space="preserve"> </v>
      </c>
      <c r="AV18" s="26" t="str">
        <f>IF(AND(L18&gt;0,'[16]EvaluaciónRiesgoCorrup (1)'!$F$11&lt;51,F18=5,H18=5),$H$27,IF(AND(L18&gt;0,'[16]EvaluaciónRiesgoCorrup (1)'!$F$11&lt;51,F18=5,H18=10),#REF!,IF(AND(L18&gt;0,'[16]EvaluaciónRiesgoCorrup (1)'!$F$11&lt;51,F18=5,H18=20),#REF!," ")))</f>
        <v xml:space="preserve"> </v>
      </c>
      <c r="AZ18" s="26" t="str">
        <f>IF(AND(M18&gt;0,'[16]EvaluaciónRiesgoCorrup (1)'!$F$11&gt;75,F18=1,H18=5),$H$23,IF(AND(M18&gt;0,'[16]EvaluaciónRiesgoCorrup (1)'!$F$11&gt;75,F18=1,H18=10),$H$23,IF(AND(M18&gt;0,'[16]EvaluaciónRiesgoCorrup (1)'!$F$11&gt;75,F18=1,H18=20),$H$23," ")))</f>
        <v xml:space="preserve"> </v>
      </c>
      <c r="BA18" s="26" t="str">
        <f>IF(AND(M18&gt;0,'[16]EvaluaciónRiesgoCorrup (1)'!$F$11&gt;75,F18=2,H18=5),$H$24,IF(AND(M18&gt;0,'[16]EvaluaciónRiesgoCorrup (1)'!$F$11&gt;75,F18=2,H18=10),$H$24,IF(AND(M18&gt;0,'[16]EvaluaciónRiesgoCorrup (1)'!$F$11&gt;75,F18=2,H18=20),$H$24," ")))</f>
        <v xml:space="preserve"> </v>
      </c>
      <c r="BB18" s="26" t="str">
        <f>IF(AND(M18&gt;0,'[16]EvaluaciónRiesgoCorrup (1)'!$F$11&gt;75,F18=3,H18=5),$H$25,IF(AND(M18&gt;0,'[16]EvaluaciónRiesgoCorrup (1)'!$F$11&gt;75,F18=3,H18=10),$H$25,IF(AND(M18&gt;0,'[16]EvaluaciónRiesgoCorrup (1)'!$F$11&gt;75,F18=3,H18=20),$H$25," ")))</f>
        <v xml:space="preserve"> </v>
      </c>
      <c r="BC18" s="26" t="str">
        <f>IF(AND(M18&gt;0,'[16]EvaluaciónRiesgoCorrup (1)'!$F$11&gt;75,F18=4,H18=5),$H$26,IF(AND(M18&gt;0,'[16]EvaluaciónRiesgoCorrup (1)'!$F$11&gt;75,F18=4,H18=10),$H$26,IF(AND(M18&gt;0,'[16]EvaluaciónRiesgoCorrup (1)'!$F$11&gt;75,F18=4,H18=20),$H$26," ")))</f>
        <v xml:space="preserve"> </v>
      </c>
      <c r="BD18" s="26" t="str">
        <f>IF(AND(M18&gt;0,'[16]EvaluaciónRiesgoCorrup (1)'!$F$11&gt;75,F18=5,H18=5),$H$27,IF(AND(M18&gt;0,'[16]EvaluaciónRiesgoCorrup (1)'!$F$11&gt;75,F18=5,H18=10),$H$27,IF(AND(M18&gt;0,'[16]EvaluaciónRiesgoCorrup (1)'!$F$11&gt;75,F18=5,H18=20),$H$27," ")))</f>
        <v xml:space="preserve"> </v>
      </c>
      <c r="BG18" s="26" t="str">
        <f>IF(AND(M18&gt;0,'[16]EvaluaciónRiesgoCorrup (1)'!$F$11&gt;50,'[16]EvaluaciónRiesgoCorrup (1)'!$F$11&lt;76,F18=1,H18=5),$H$23,IF(AND(M18&gt;0,'[16]EvaluaciónRiesgoCorrup (1)'!$F$11&gt;50,'[16]EvaluaciónRiesgoCorrup (1)'!$F$11&lt;76,F18=1,H18=10),$H$23,IF(AND(M18&gt;0,'[16]EvaluaciónRiesgoCorrup (1)'!$F$11&gt;50,'[16]EvaluaciónRiesgoCorrup (1)'!$F$11&lt;76,F18=1,H18=20),#REF!," ")))</f>
        <v xml:space="preserve"> </v>
      </c>
      <c r="BH18" s="26" t="str">
        <f>IF(AND(M18&gt;0,'[16]EvaluaciónRiesgoCorrup (1)'!$F$11&gt;50,'[16]EvaluaciónRiesgoCorrup (1)'!$F$11&lt;76,F18=2,H18=5),$H$24,IF(AND(M18&gt;0,'[16]EvaluaciónRiesgoCorrup (1)'!$F$11&gt;50,'[16]EvaluaciónRiesgoCorrup (1)'!$F$11&lt;76,F18=2,H18=10),$H$24,IF(AND(M18&gt;0,'[16]EvaluaciónRiesgoCorrup (1)'!$F$11&gt;50,'[16]EvaluaciónRiesgoCorrup (1)'!$F$11&lt;76,F18=2,H18=20),#REF!," ")))</f>
        <v xml:space="preserve"> </v>
      </c>
      <c r="BI18" s="26" t="str">
        <f>IF(AND(M18&gt;0,'[16]EvaluaciónRiesgoCorrup (1)'!$F$11&gt;50,'[16]EvaluaciónRiesgoCorrup (1)'!$F$11&lt;76,F18=3,H18=5),$H$25,IF(AND(M18&gt;0,'[16]EvaluaciónRiesgoCorrup (1)'!$F$11&gt;50,'[16]EvaluaciónRiesgoCorrup (1)'!$F$11&lt;76,F18=3,H18=10),$H$25,IF(AND(M18&gt;0,'[16]EvaluaciónRiesgoCorrup (1)'!$F$11&gt;50,'[16]EvaluaciónRiesgoCorrup (1)'!$F$11&lt;76,F18=3,H18=20),#REF!," ")))</f>
        <v xml:space="preserve"> </v>
      </c>
      <c r="BJ18" s="26" t="str">
        <f>IF(AND(M18&gt;0,'[16]EvaluaciónRiesgoCorrup (1)'!$F$11&gt;50,'[16]EvaluaciónRiesgoCorrup (1)'!$F$11&lt;76,F18=4,H18=5),$H$26,IF(AND(M18&gt;0,'[16]EvaluaciónRiesgoCorrup (1)'!$F$11&gt;50,'[16]EvaluaciónRiesgoCorrup (1)'!$F$11&lt;76,F18=4,H18=10),$H$26,IF(AND(M18&gt;0,'[16]EvaluaciónRiesgoCorrup (1)'!$F$11&gt;50,'[16]EvaluaciónRiesgoCorrup (1)'!$F$11&lt;76,F18=4,H18=20),#REF!," ")))</f>
        <v xml:space="preserve"> </v>
      </c>
      <c r="BK18" s="26" t="str">
        <f>IF(AND(M18&gt;0,'[16]EvaluaciónRiesgoCorrup (1)'!$F$11&gt;50,'[16]EvaluaciónRiesgoCorrup (1)'!$F$11&lt;76,F18=5,H18=5),$H$27,IF(AND(M18&gt;0,'[16]EvaluaciónRiesgoCorrup (1)'!$F$11&gt;50,'[16]EvaluaciónRiesgoCorrup (1)'!$F$11&lt;76,F18=5,H18=10),$H$27,IF(AND(M18&gt;0,'[16]EvaluaciónRiesgoCorrup (1)'!$F$11&gt;50,'[16]EvaluaciónRiesgoCorrup (1)'!$F$11&lt;76,F18=5,H18=20),#REF!," ")))</f>
        <v xml:space="preserve"> </v>
      </c>
      <c r="BN18" s="26" t="str">
        <f>IF(AND(M18&gt;0,'[16]EvaluaciónRiesgoCorrup (1)'!$F$11&lt;51,F18=1,H18=5),$H$23,IF(AND(M18&gt;0,'[16]EvaluaciónRiesgoCorrup (1)'!$F$11&lt;51,F18=1,H18=10),#REF!,IF(AND(M18&gt;0,'[16]EvaluaciónRiesgoCorrup (1)'!$F$11&lt;51,F18=1,H18=20),#REF!," ")))</f>
        <v xml:space="preserve"> </v>
      </c>
      <c r="BO18" s="26" t="str">
        <f>IF(AND(M18&gt;0,'[16]EvaluaciónRiesgoCorrup (1)'!$F$11&lt;51,F18=2,H18=5),$H$24,IF(AND(M18&gt;0,'[16]EvaluaciónRiesgoCorrup (1)'!$F$11&lt;51,F18=2,H18=10),#REF!,IF(AND(M18&gt;0,'[16]EvaluaciónRiesgoCorrup (1)'!$F$11&lt;51,F18=2,H18=20),#REF!," ")))</f>
        <v xml:space="preserve"> </v>
      </c>
      <c r="BP18" s="26" t="str">
        <f>IF(AND(M18&gt;0,'[16]EvaluaciónRiesgoCorrup (1)'!$F$11&lt;51,F18=3,H18=5),$H$25,IF(AND(M18&gt;0,'[16]EvaluaciónRiesgoCorrup (1)'!$F$11&lt;51,F18=3,H18=10),#REF!,IF(AND(M18&gt;0,'[16]EvaluaciónRiesgoCorrup (1)'!$F$11&lt;51,F18=3,H18=20),#REF!," ")))</f>
        <v xml:space="preserve"> </v>
      </c>
      <c r="BQ18" s="26" t="str">
        <f>IF(AND(M18&gt;0,'[16]EvaluaciónRiesgoCorrup (1)'!$F$11&lt;51,F18=4,H18=5),$H$26,IF(AND(M18&gt;0,'[16]EvaluaciónRiesgoCorrup (1)'!$F$11&lt;51,F18=4,H18=10),#REF!,IF(AND(M18&gt;0,'[16]EvaluaciónRiesgoCorrup (1)'!$F$11&lt;51,F18=4,H18=20),#REF!," ")))</f>
        <v xml:space="preserve"> </v>
      </c>
      <c r="BR18" s="26" t="str">
        <f>IF(AND(M18&gt;0,'[16]EvaluaciónRiesgoCorrup (1)'!$F$11&lt;51,F18=5,H18=5),$H$27,IF(AND(M18&gt;0,'[16]EvaluaciónRiesgoCorrup (1)'!$F$11&lt;51,F18=5,H18=10),#REF!,IF(AND(M18&gt;0,'[16]EvaluaciónRiesgoCorrup (1)'!$F$11&lt;51,F18=5,H18=20),#REF!," ")))</f>
        <v xml:space="preserve"> </v>
      </c>
    </row>
    <row r="19" spans="1:70" ht="173.25" customHeight="1" x14ac:dyDescent="0.25">
      <c r="A19" s="125"/>
      <c r="B19" s="126"/>
      <c r="C19" s="126"/>
      <c r="D19" s="126"/>
      <c r="E19" s="126"/>
      <c r="F19" s="179"/>
      <c r="G19" s="179"/>
      <c r="H19" s="179"/>
      <c r="I19" s="179"/>
      <c r="J19" s="179"/>
      <c r="K19" s="179"/>
      <c r="L19" s="179"/>
      <c r="M19" s="125"/>
      <c r="N19" s="125"/>
      <c r="O19" s="125"/>
      <c r="P19" s="125"/>
      <c r="Q19" s="125"/>
      <c r="R19" s="125"/>
      <c r="S19" s="179"/>
      <c r="T19" s="125"/>
      <c r="U19" s="125"/>
      <c r="V19" s="125"/>
    </row>
    <row r="20" spans="1:70" ht="188.25" customHeight="1" x14ac:dyDescent="0.25">
      <c r="A20" s="125"/>
      <c r="B20" s="126"/>
      <c r="C20" s="126"/>
      <c r="D20" s="126"/>
      <c r="E20" s="126"/>
      <c r="F20" s="179"/>
      <c r="G20" s="179"/>
      <c r="H20" s="216"/>
      <c r="I20" s="216"/>
      <c r="J20" s="216"/>
      <c r="K20" s="216"/>
      <c r="L20" s="179"/>
      <c r="M20" s="125"/>
      <c r="N20" s="125"/>
      <c r="O20" s="125"/>
      <c r="P20" s="125"/>
      <c r="Q20" s="125"/>
      <c r="R20" s="125"/>
      <c r="S20" s="179"/>
      <c r="T20" s="125"/>
      <c r="U20" s="125"/>
      <c r="V20" s="125"/>
    </row>
    <row r="21" spans="1:70" ht="96" customHeight="1" thickBot="1" x14ac:dyDescent="0.3">
      <c r="A21" s="6"/>
      <c r="B21" s="31"/>
      <c r="C21" s="139"/>
      <c r="D21" s="31"/>
      <c r="E21" s="139"/>
      <c r="F21" s="524" t="s">
        <v>26</v>
      </c>
      <c r="G21" s="77"/>
      <c r="H21" s="525" t="s">
        <v>10</v>
      </c>
      <c r="I21" s="525"/>
      <c r="J21" s="525"/>
      <c r="K21" s="525"/>
      <c r="L21" s="2"/>
      <c r="Q21" s="5"/>
      <c r="S21" s="2"/>
    </row>
    <row r="22" spans="1:70" ht="32.25" customHeight="1" thickBot="1" x14ac:dyDescent="0.3">
      <c r="A22" s="5"/>
      <c r="B22" s="32" t="s">
        <v>34</v>
      </c>
      <c r="C22" s="127"/>
      <c r="D22" s="32"/>
      <c r="E22" s="127"/>
      <c r="F22" s="463"/>
      <c r="G22" s="147"/>
      <c r="H22" s="33" t="s">
        <v>35</v>
      </c>
      <c r="I22" s="128"/>
      <c r="J22" s="128"/>
      <c r="K22" s="128"/>
      <c r="L22" s="2"/>
      <c r="Q22" s="5"/>
      <c r="S22" s="2"/>
    </row>
    <row r="23" spans="1:70" ht="15.75" thickBot="1" x14ac:dyDescent="0.3">
      <c r="B23" s="5" t="s">
        <v>38</v>
      </c>
      <c r="C23" s="118"/>
      <c r="F23" s="35" t="s">
        <v>39</v>
      </c>
      <c r="G23" s="129"/>
      <c r="H23" s="36" t="s">
        <v>40</v>
      </c>
      <c r="I23" s="130"/>
      <c r="J23" s="130"/>
      <c r="K23" s="130"/>
      <c r="L23" s="2"/>
      <c r="Q23" s="5"/>
      <c r="S23" s="2"/>
    </row>
    <row r="24" spans="1:70" ht="15.75" thickBot="1" x14ac:dyDescent="0.3">
      <c r="F24" s="35" t="s">
        <v>42</v>
      </c>
      <c r="G24" s="129"/>
      <c r="H24" s="36" t="s">
        <v>40</v>
      </c>
      <c r="I24" s="130"/>
      <c r="J24" s="130"/>
      <c r="K24" s="130"/>
      <c r="L24" s="2"/>
      <c r="Q24" s="5"/>
      <c r="S24" s="2"/>
    </row>
    <row r="25" spans="1:70" ht="15.75" thickBot="1" x14ac:dyDescent="0.3">
      <c r="F25" s="35" t="s">
        <v>44</v>
      </c>
      <c r="G25" s="129"/>
      <c r="H25" s="37" t="s">
        <v>41</v>
      </c>
      <c r="I25" s="131"/>
      <c r="J25" s="131"/>
      <c r="K25" s="131"/>
      <c r="L25" s="2"/>
      <c r="Q25" s="5"/>
      <c r="S25" s="2"/>
    </row>
    <row r="26" spans="1:70" ht="15.75" thickBot="1" x14ac:dyDescent="0.3">
      <c r="F26" s="35" t="s">
        <v>46</v>
      </c>
      <c r="G26" s="129"/>
      <c r="H26" s="37" t="s">
        <v>41</v>
      </c>
      <c r="I26" s="131"/>
      <c r="J26" s="131"/>
      <c r="K26" s="131"/>
      <c r="L26" s="2"/>
      <c r="Q26" s="5"/>
      <c r="S26" s="2"/>
    </row>
    <row r="27" spans="1:70" ht="15.75" thickBot="1" x14ac:dyDescent="0.3">
      <c r="F27" s="35" t="s">
        <v>47</v>
      </c>
      <c r="G27" s="129"/>
      <c r="H27" s="37" t="s">
        <v>41</v>
      </c>
      <c r="I27" s="131"/>
      <c r="J27" s="131"/>
      <c r="K27" s="131"/>
      <c r="L27" s="2"/>
      <c r="Q27" s="5"/>
      <c r="S27" s="2"/>
    </row>
    <row r="28" spans="1:70" x14ac:dyDescent="0.25">
      <c r="F28" s="2"/>
      <c r="G28" s="115"/>
      <c r="H28" s="2"/>
      <c r="I28" s="115"/>
      <c r="J28" s="115"/>
      <c r="K28" s="115"/>
      <c r="M28" s="5"/>
    </row>
    <row r="29" spans="1:70" ht="15" x14ac:dyDescent="0.25">
      <c r="F29" s="40" t="s">
        <v>48</v>
      </c>
      <c r="G29" s="132"/>
      <c r="H29" s="2"/>
      <c r="I29" s="115"/>
      <c r="J29" s="115"/>
      <c r="K29" s="115"/>
      <c r="M29" s="5"/>
      <c r="N29" s="5"/>
      <c r="O29" s="118"/>
      <c r="P29" s="5"/>
    </row>
    <row r="30" spans="1:70" ht="15" x14ac:dyDescent="0.25">
      <c r="F30" s="41" t="s">
        <v>49</v>
      </c>
      <c r="G30" s="133"/>
      <c r="H30" s="2"/>
      <c r="I30" s="115"/>
      <c r="J30" s="115"/>
      <c r="K30" s="115"/>
      <c r="M30" s="5"/>
      <c r="N30" s="5"/>
      <c r="O30" s="118"/>
      <c r="P30" s="5"/>
    </row>
    <row r="31" spans="1:70" ht="15" x14ac:dyDescent="0.25">
      <c r="F31" s="42" t="s">
        <v>50</v>
      </c>
      <c r="G31" s="134"/>
      <c r="H31" s="2"/>
      <c r="I31" s="115"/>
      <c r="J31" s="115"/>
      <c r="K31" s="115"/>
      <c r="M31" s="5"/>
      <c r="N31" s="5"/>
      <c r="O31" s="118"/>
      <c r="P31" s="5"/>
    </row>
    <row r="32" spans="1:70" ht="15" x14ac:dyDescent="0.25">
      <c r="F32" s="43" t="s">
        <v>51</v>
      </c>
      <c r="G32" s="135"/>
      <c r="H32" s="2"/>
      <c r="I32" s="115"/>
      <c r="J32" s="115"/>
      <c r="K32" s="115"/>
      <c r="M32" s="5"/>
      <c r="N32" s="5"/>
      <c r="O32" s="118"/>
      <c r="P32" s="5"/>
    </row>
  </sheetData>
  <mergeCells count="35">
    <mergeCell ref="T15:T16"/>
    <mergeCell ref="U15:U16"/>
    <mergeCell ref="V15:V16"/>
    <mergeCell ref="F21:F22"/>
    <mergeCell ref="H21:K21"/>
    <mergeCell ref="P15:R15"/>
    <mergeCell ref="L18:M18"/>
    <mergeCell ref="M17:N17"/>
    <mergeCell ref="S15:S16"/>
    <mergeCell ref="A12:D12"/>
    <mergeCell ref="F12:V12"/>
    <mergeCell ref="AG13:AY13"/>
    <mergeCell ref="BA13:BT13"/>
    <mergeCell ref="A14:D14"/>
    <mergeCell ref="F14:H14"/>
    <mergeCell ref="L14:N14"/>
    <mergeCell ref="P14:R14"/>
    <mergeCell ref="S14:V14"/>
    <mergeCell ref="A15:A16"/>
    <mergeCell ref="B15:B16"/>
    <mergeCell ref="D15:D16"/>
    <mergeCell ref="F15:H15"/>
    <mergeCell ref="L15:N15"/>
    <mergeCell ref="A6:D6"/>
    <mergeCell ref="F6:V6"/>
    <mergeCell ref="A8:D8"/>
    <mergeCell ref="F8:V8"/>
    <mergeCell ref="A10:D10"/>
    <mergeCell ref="F10:V10"/>
    <mergeCell ref="A1:D4"/>
    <mergeCell ref="F1:T4"/>
    <mergeCell ref="U1:V1"/>
    <mergeCell ref="U4:V4"/>
    <mergeCell ref="U2:W2"/>
    <mergeCell ref="U3:W3"/>
  </mergeCells>
  <conditionalFormatting sqref="N17:O18">
    <cfRule type="containsText" dxfId="51" priority="1" operator="containsText" text="E">
      <formula>NOT(ISERROR(SEARCH("E",N17)))</formula>
    </cfRule>
    <cfRule type="containsText" dxfId="50" priority="2" operator="containsText" text="M">
      <formula>NOT(ISERROR(SEARCH("M",N17)))</formula>
    </cfRule>
    <cfRule type="containsText" dxfId="49" priority="3" operator="containsText" text="A">
      <formula>NOT(ISERROR(SEARCH("A",N17)))</formula>
    </cfRule>
    <cfRule type="containsText" dxfId="48" priority="4" operator="containsText" text="B">
      <formula>NOT(ISERROR(SEARCH("B",N17)))</formula>
    </cfRule>
  </conditionalFormatting>
  <pageMargins left="0.7" right="0.7" top="0.75" bottom="0.75" header="0.3" footer="0.3"/>
  <pageSetup scale="16"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38"/>
  <sheetViews>
    <sheetView showGridLines="0" view="pageBreakPreview" topLeftCell="D1" zoomScaleNormal="85" zoomScaleSheetLayoutView="100" workbookViewId="0">
      <selection activeCell="F12" sqref="F12:V12"/>
    </sheetView>
  </sheetViews>
  <sheetFormatPr baseColWidth="10" defaultColWidth="11.42578125" defaultRowHeight="14.25" x14ac:dyDescent="0.25"/>
  <cols>
    <col min="1" max="1" width="41.28515625" style="2" customWidth="1"/>
    <col min="2" max="5" width="40.42578125" style="2" customWidth="1"/>
    <col min="6" max="7" width="27" style="5" customWidth="1"/>
    <col min="8" max="9" width="19" style="5" customWidth="1"/>
    <col min="10" max="11" width="26.7109375" style="5" customWidth="1"/>
    <col min="12" max="12" width="17.7109375" style="5" customWidth="1"/>
    <col min="13" max="14" width="28" style="2" customWidth="1"/>
    <col min="15" max="15" width="19.85546875" style="2" customWidth="1"/>
    <col min="16" max="16" width="42.7109375" style="2" customWidth="1"/>
    <col min="17" max="17" width="26.85546875" style="2" customWidth="1"/>
    <col min="18" max="18" width="36.42578125" style="5" customWidth="1"/>
    <col min="19" max="19" width="184.140625" style="2" customWidth="1"/>
    <col min="20" max="20" width="32.28515625" style="2" customWidth="1"/>
    <col min="21" max="21" width="46" style="2" customWidth="1"/>
    <col min="22" max="22" width="30.42578125" style="2" customWidth="1"/>
    <col min="23" max="23" width="36" style="2" hidden="1" customWidth="1"/>
    <col min="24" max="24" width="0" style="2" hidden="1" customWidth="1"/>
    <col min="25" max="71" width="11.42578125" style="2" hidden="1" customWidth="1"/>
    <col min="72" max="72" width="11.42578125" style="2" customWidth="1"/>
    <col min="73" max="16384" width="11.42578125" style="2"/>
  </cols>
  <sheetData>
    <row r="1" spans="1:71" ht="21" customHeight="1" x14ac:dyDescent="0.25">
      <c r="A1" s="491"/>
      <c r="B1" s="491"/>
      <c r="C1" s="491"/>
      <c r="D1" s="491"/>
      <c r="E1" s="72"/>
      <c r="F1" s="492" t="s">
        <v>0</v>
      </c>
      <c r="G1" s="493"/>
      <c r="H1" s="493"/>
      <c r="I1" s="493"/>
      <c r="J1" s="493"/>
      <c r="K1" s="493"/>
      <c r="L1" s="493"/>
      <c r="M1" s="493"/>
      <c r="N1" s="493"/>
      <c r="O1" s="493"/>
      <c r="P1" s="493"/>
      <c r="Q1" s="493"/>
      <c r="R1" s="493"/>
      <c r="S1" s="494"/>
      <c r="T1" s="501" t="s">
        <v>1</v>
      </c>
      <c r="U1" s="502"/>
      <c r="V1" s="1"/>
      <c r="W1" s="1"/>
    </row>
    <row r="2" spans="1:71" ht="22.5" customHeight="1" x14ac:dyDescent="0.25">
      <c r="A2" s="491"/>
      <c r="B2" s="491"/>
      <c r="C2" s="491"/>
      <c r="D2" s="491"/>
      <c r="E2" s="73"/>
      <c r="F2" s="495"/>
      <c r="G2" s="496"/>
      <c r="H2" s="496"/>
      <c r="I2" s="496"/>
      <c r="J2" s="496"/>
      <c r="K2" s="496"/>
      <c r="L2" s="496"/>
      <c r="M2" s="496"/>
      <c r="N2" s="496"/>
      <c r="O2" s="496"/>
      <c r="P2" s="496"/>
      <c r="Q2" s="496"/>
      <c r="R2" s="496"/>
      <c r="S2" s="497"/>
      <c r="T2" s="501" t="s">
        <v>162</v>
      </c>
      <c r="U2" s="502"/>
      <c r="V2" s="1"/>
      <c r="W2" s="1"/>
    </row>
    <row r="3" spans="1:71" ht="21" customHeight="1" x14ac:dyDescent="0.25">
      <c r="A3" s="491"/>
      <c r="B3" s="491"/>
      <c r="C3" s="491"/>
      <c r="D3" s="491"/>
      <c r="E3" s="73"/>
      <c r="F3" s="495"/>
      <c r="G3" s="496"/>
      <c r="H3" s="496"/>
      <c r="I3" s="496"/>
      <c r="J3" s="496"/>
      <c r="K3" s="496"/>
      <c r="L3" s="496"/>
      <c r="M3" s="496"/>
      <c r="N3" s="496"/>
      <c r="O3" s="496"/>
      <c r="P3" s="496"/>
      <c r="Q3" s="496"/>
      <c r="R3" s="496"/>
      <c r="S3" s="497"/>
      <c r="T3" s="501" t="s">
        <v>163</v>
      </c>
      <c r="U3" s="502"/>
      <c r="V3" s="1"/>
      <c r="W3" s="1"/>
    </row>
    <row r="4" spans="1:71" ht="20.25" customHeight="1" x14ac:dyDescent="0.25">
      <c r="A4" s="491"/>
      <c r="B4" s="491"/>
      <c r="C4" s="491"/>
      <c r="D4" s="491"/>
      <c r="E4" s="74"/>
      <c r="F4" s="498"/>
      <c r="G4" s="499"/>
      <c r="H4" s="499"/>
      <c r="I4" s="499"/>
      <c r="J4" s="499"/>
      <c r="K4" s="499"/>
      <c r="L4" s="499"/>
      <c r="M4" s="499"/>
      <c r="N4" s="499"/>
      <c r="O4" s="499"/>
      <c r="P4" s="499"/>
      <c r="Q4" s="499"/>
      <c r="R4" s="499"/>
      <c r="S4" s="500"/>
      <c r="T4" s="501" t="s">
        <v>2</v>
      </c>
      <c r="U4" s="502"/>
      <c r="V4" s="1"/>
      <c r="W4" s="1"/>
    </row>
    <row r="5" spans="1:71" ht="8.25" customHeight="1" x14ac:dyDescent="0.25">
      <c r="B5" s="3"/>
      <c r="C5" s="3"/>
      <c r="D5" s="3"/>
      <c r="E5" s="3"/>
      <c r="F5" s="4"/>
      <c r="G5" s="4"/>
      <c r="H5" s="4"/>
      <c r="I5" s="4"/>
      <c r="J5" s="4"/>
      <c r="K5" s="4"/>
      <c r="L5" s="4"/>
      <c r="M5" s="4"/>
      <c r="N5" s="4"/>
      <c r="O5" s="4"/>
      <c r="P5" s="4"/>
      <c r="V5" s="6"/>
      <c r="W5" s="6"/>
    </row>
    <row r="6" spans="1:71" ht="15" x14ac:dyDescent="0.25">
      <c r="A6" s="471" t="s">
        <v>3</v>
      </c>
      <c r="B6" s="471"/>
      <c r="C6" s="471"/>
      <c r="D6" s="471"/>
      <c r="E6" s="75"/>
      <c r="F6" s="485" t="str">
        <f>+[17]IdentRiesgo!B2</f>
        <v>GESTION DE RECURSOS INFORMATICOS Y TECNOLOGICOS</v>
      </c>
      <c r="G6" s="486"/>
      <c r="H6" s="486"/>
      <c r="I6" s="486"/>
      <c r="J6" s="486"/>
      <c r="K6" s="486"/>
      <c r="L6" s="486"/>
      <c r="M6" s="486"/>
      <c r="N6" s="486"/>
      <c r="O6" s="486"/>
      <c r="P6" s="486"/>
      <c r="Q6" s="486"/>
      <c r="R6" s="486"/>
      <c r="S6" s="486"/>
      <c r="T6" s="486"/>
      <c r="U6" s="487"/>
      <c r="V6" s="6"/>
      <c r="W6" s="6"/>
    </row>
    <row r="7" spans="1:71" ht="6.75" customHeight="1" x14ac:dyDescent="0.25">
      <c r="B7" s="3"/>
      <c r="C7" s="3"/>
      <c r="D7" s="3"/>
      <c r="E7" s="3"/>
      <c r="F7" s="7"/>
      <c r="G7" s="7"/>
      <c r="H7" s="7"/>
      <c r="I7" s="7"/>
      <c r="J7" s="7"/>
      <c r="K7" s="7"/>
      <c r="L7" s="7"/>
      <c r="M7" s="7"/>
      <c r="N7" s="7"/>
      <c r="O7" s="7"/>
      <c r="P7" s="7"/>
      <c r="Q7" s="8"/>
      <c r="R7" s="8"/>
      <c r="S7" s="8"/>
      <c r="T7" s="8"/>
      <c r="U7" s="8"/>
      <c r="V7" s="6"/>
      <c r="W7" s="6"/>
    </row>
    <row r="8" spans="1:71" ht="39.75" customHeight="1" x14ac:dyDescent="0.25">
      <c r="A8" s="471" t="s">
        <v>4</v>
      </c>
      <c r="B8" s="471"/>
      <c r="C8" s="471"/>
      <c r="D8" s="471"/>
      <c r="E8" s="75"/>
      <c r="F8" s="488" t="str">
        <f>+[17]IdentRiesgo!B3</f>
        <v>Servir como apoyo a todos los procesos del instituto, en cuanto a la implementación, mantenimiento y soporte técnico de los sistemas de información tanto misionales como de apoyo administrativo, garantizando a los usuarios el acceso a las herramientas informáticas a través de una infraestructura tecnológica debidamente actualizada y soportada, cumpliendo con los requisitos de oportunidad, disponibilidad y seguridad.</v>
      </c>
      <c r="G8" s="489"/>
      <c r="H8" s="489"/>
      <c r="I8" s="489"/>
      <c r="J8" s="489"/>
      <c r="K8" s="489"/>
      <c r="L8" s="489"/>
      <c r="M8" s="489"/>
      <c r="N8" s="489"/>
      <c r="O8" s="489"/>
      <c r="P8" s="489"/>
      <c r="Q8" s="489"/>
      <c r="R8" s="489"/>
      <c r="S8" s="489"/>
      <c r="T8" s="489"/>
      <c r="U8" s="490"/>
      <c r="V8" s="9"/>
      <c r="W8" s="9"/>
    </row>
    <row r="9" spans="1:71" ht="6.75" customHeight="1" x14ac:dyDescent="0.25">
      <c r="B9" s="10"/>
      <c r="C9" s="10"/>
      <c r="D9" s="10"/>
      <c r="E9" s="10"/>
      <c r="F9" s="11"/>
      <c r="G9" s="11"/>
      <c r="H9" s="11"/>
      <c r="I9" s="11"/>
      <c r="J9" s="11"/>
      <c r="K9" s="11"/>
      <c r="L9" s="11"/>
      <c r="M9" s="11"/>
      <c r="N9" s="11"/>
      <c r="O9" s="11"/>
      <c r="P9" s="11"/>
      <c r="Q9" s="8"/>
      <c r="R9" s="8"/>
      <c r="S9" s="8"/>
      <c r="T9" s="8"/>
      <c r="U9" s="8"/>
      <c r="V9" s="6"/>
      <c r="W9" s="6"/>
    </row>
    <row r="10" spans="1:71" ht="15" x14ac:dyDescent="0.25">
      <c r="A10" s="471" t="s">
        <v>5</v>
      </c>
      <c r="B10" s="471"/>
      <c r="C10" s="471"/>
      <c r="D10" s="471"/>
      <c r="E10" s="75"/>
      <c r="F10" s="472" t="s">
        <v>56</v>
      </c>
      <c r="G10" s="473"/>
      <c r="H10" s="473"/>
      <c r="I10" s="473"/>
      <c r="J10" s="473"/>
      <c r="K10" s="473"/>
      <c r="L10" s="473"/>
      <c r="M10" s="473"/>
      <c r="N10" s="473"/>
      <c r="O10" s="473"/>
      <c r="P10" s="473"/>
      <c r="Q10" s="473"/>
      <c r="R10" s="473"/>
      <c r="S10" s="473"/>
      <c r="T10" s="473"/>
      <c r="U10" s="474"/>
      <c r="V10" s="12"/>
      <c r="W10" s="12"/>
    </row>
    <row r="11" spans="1:71" ht="5.25" customHeight="1" x14ac:dyDescent="0.25">
      <c r="B11" s="3"/>
      <c r="C11" s="3"/>
      <c r="D11" s="3"/>
      <c r="E11" s="3"/>
      <c r="F11" s="13"/>
      <c r="G11" s="13"/>
      <c r="H11" s="13"/>
      <c r="I11" s="13"/>
      <c r="J11" s="13"/>
      <c r="K11" s="13"/>
      <c r="L11" s="13"/>
      <c r="M11" s="13"/>
      <c r="N11" s="13"/>
      <c r="O11" s="13"/>
      <c r="P11" s="13"/>
      <c r="Q11" s="8"/>
      <c r="R11" s="8"/>
      <c r="S11" s="8"/>
      <c r="T11" s="8"/>
      <c r="U11" s="8"/>
      <c r="V11" s="6"/>
      <c r="W11" s="6"/>
    </row>
    <row r="12" spans="1:71" ht="15.75" x14ac:dyDescent="0.25">
      <c r="A12" s="471" t="s">
        <v>6</v>
      </c>
      <c r="B12" s="471"/>
      <c r="C12" s="471"/>
      <c r="D12" s="471"/>
      <c r="E12" s="75"/>
      <c r="F12" s="503">
        <f ca="1">NOW()</f>
        <v>43130.660336342589</v>
      </c>
      <c r="G12" s="504"/>
      <c r="H12" s="504"/>
      <c r="I12" s="504"/>
      <c r="J12" s="504"/>
      <c r="K12" s="504"/>
      <c r="L12" s="504"/>
      <c r="M12" s="504"/>
      <c r="N12" s="504"/>
      <c r="O12" s="504"/>
      <c r="P12" s="504"/>
      <c r="Q12" s="504"/>
      <c r="R12" s="504"/>
      <c r="S12" s="504"/>
      <c r="T12" s="504"/>
      <c r="U12" s="504"/>
      <c r="V12" s="505"/>
      <c r="W12" s="12"/>
      <c r="Z12" s="2" t="s">
        <v>7</v>
      </c>
    </row>
    <row r="13" spans="1:71" ht="15" x14ac:dyDescent="0.25">
      <c r="B13" s="3"/>
      <c r="C13" s="3"/>
      <c r="D13" s="3"/>
      <c r="E13" s="3"/>
      <c r="F13" s="14"/>
      <c r="G13" s="14"/>
      <c r="H13" s="15"/>
      <c r="I13" s="15"/>
      <c r="J13" s="15"/>
      <c r="K13" s="368"/>
      <c r="L13" s="368"/>
      <c r="M13" s="369"/>
      <c r="N13" s="7"/>
      <c r="O13" s="7"/>
      <c r="P13" s="7"/>
      <c r="Q13" s="7"/>
      <c r="R13" s="15"/>
      <c r="S13" s="7"/>
      <c r="V13" s="6"/>
      <c r="W13" s="6"/>
      <c r="Z13" s="2" t="s">
        <v>8</v>
      </c>
      <c r="AF13" s="475" t="s">
        <v>9</v>
      </c>
      <c r="AG13" s="475"/>
      <c r="AH13" s="475"/>
      <c r="AI13" s="475"/>
      <c r="AJ13" s="475"/>
      <c r="AK13" s="475"/>
      <c r="AL13" s="475"/>
      <c r="AM13" s="475"/>
      <c r="AN13" s="475"/>
      <c r="AO13" s="475"/>
      <c r="AP13" s="475"/>
      <c r="AQ13" s="475"/>
      <c r="AR13" s="475"/>
      <c r="AS13" s="475"/>
      <c r="AT13" s="475"/>
      <c r="AU13" s="475"/>
      <c r="AV13" s="475"/>
      <c r="AW13" s="475"/>
      <c r="AX13" s="475"/>
      <c r="AZ13" s="475" t="s">
        <v>10</v>
      </c>
      <c r="BA13" s="475"/>
      <c r="BB13" s="475"/>
      <c r="BC13" s="475"/>
      <c r="BD13" s="475"/>
      <c r="BE13" s="475"/>
      <c r="BF13" s="475"/>
      <c r="BG13" s="475"/>
      <c r="BH13" s="475"/>
      <c r="BI13" s="475"/>
      <c r="BJ13" s="475"/>
      <c r="BK13" s="475"/>
      <c r="BL13" s="475"/>
      <c r="BM13" s="475"/>
      <c r="BN13" s="475"/>
      <c r="BO13" s="475"/>
      <c r="BP13" s="475"/>
      <c r="BQ13" s="475"/>
      <c r="BR13" s="475"/>
      <c r="BS13" s="475"/>
    </row>
    <row r="14" spans="1:71" s="17" customFormat="1" ht="15" customHeight="1" x14ac:dyDescent="0.25">
      <c r="A14" s="476" t="s">
        <v>11</v>
      </c>
      <c r="B14" s="477"/>
      <c r="C14" s="477"/>
      <c r="D14" s="478"/>
      <c r="E14" s="76"/>
      <c r="F14" s="479" t="s">
        <v>12</v>
      </c>
      <c r="G14" s="479"/>
      <c r="H14" s="479"/>
      <c r="I14" s="16"/>
      <c r="J14" s="16"/>
      <c r="K14" s="330"/>
      <c r="L14" s="483" t="s">
        <v>14</v>
      </c>
      <c r="M14" s="483"/>
      <c r="N14" s="58"/>
      <c r="O14" s="483" t="s">
        <v>15</v>
      </c>
      <c r="P14" s="483"/>
      <c r="Q14" s="483"/>
      <c r="R14" s="483" t="s">
        <v>16</v>
      </c>
      <c r="S14" s="483"/>
      <c r="T14" s="483"/>
      <c r="U14" s="483"/>
    </row>
    <row r="15" spans="1:71" s="17" customFormat="1" ht="14.25" customHeight="1" x14ac:dyDescent="0.25">
      <c r="A15" s="481" t="s">
        <v>17</v>
      </c>
      <c r="B15" s="481" t="s">
        <v>18</v>
      </c>
      <c r="C15" s="59"/>
      <c r="D15" s="481" t="s">
        <v>19</v>
      </c>
      <c r="E15" s="59"/>
      <c r="F15" s="461" t="s">
        <v>20</v>
      </c>
      <c r="G15" s="461"/>
      <c r="H15" s="461"/>
      <c r="I15" s="61"/>
      <c r="J15" s="329"/>
      <c r="K15" s="328"/>
      <c r="L15" s="461" t="s">
        <v>21</v>
      </c>
      <c r="M15" s="461"/>
      <c r="N15" s="62"/>
      <c r="O15" s="466" t="s">
        <v>22</v>
      </c>
      <c r="P15" s="467"/>
      <c r="Q15" s="468"/>
      <c r="R15" s="461" t="s">
        <v>23</v>
      </c>
      <c r="S15" s="461" t="s">
        <v>24</v>
      </c>
      <c r="T15" s="461" t="s">
        <v>5</v>
      </c>
      <c r="U15" s="461" t="s">
        <v>25</v>
      </c>
    </row>
    <row r="16" spans="1:71" s="17" customFormat="1" ht="63" customHeight="1" x14ac:dyDescent="0.25">
      <c r="A16" s="484"/>
      <c r="B16" s="484"/>
      <c r="C16" s="60" t="s">
        <v>77</v>
      </c>
      <c r="D16" s="484"/>
      <c r="E16" s="60" t="s">
        <v>78</v>
      </c>
      <c r="F16" s="18" t="s">
        <v>26</v>
      </c>
      <c r="G16" s="61" t="s">
        <v>77</v>
      </c>
      <c r="H16" s="18" t="s">
        <v>10</v>
      </c>
      <c r="I16" s="61" t="s">
        <v>77</v>
      </c>
      <c r="J16" s="329" t="s">
        <v>27</v>
      </c>
      <c r="K16" s="328" t="s">
        <v>80</v>
      </c>
      <c r="L16" s="328" t="s">
        <v>82</v>
      </c>
      <c r="M16" s="328" t="s">
        <v>27</v>
      </c>
      <c r="N16" s="366" t="s">
        <v>81</v>
      </c>
      <c r="O16" s="18" t="s">
        <v>28</v>
      </c>
      <c r="P16" s="18" t="s">
        <v>24</v>
      </c>
      <c r="Q16" s="18" t="s">
        <v>29</v>
      </c>
      <c r="R16" s="461"/>
      <c r="S16" s="461"/>
      <c r="T16" s="461"/>
      <c r="U16" s="461"/>
    </row>
    <row r="17" spans="1:69" ht="322.5" customHeight="1" x14ac:dyDescent="0.25">
      <c r="A17" s="359" t="s">
        <v>179</v>
      </c>
      <c r="B17" s="359" t="s">
        <v>180</v>
      </c>
      <c r="C17" s="359" t="s">
        <v>181</v>
      </c>
      <c r="D17" s="359" t="s">
        <v>182</v>
      </c>
      <c r="E17" s="354" t="s">
        <v>89</v>
      </c>
      <c r="F17" s="355">
        <v>3</v>
      </c>
      <c r="G17" s="355" t="s">
        <v>83</v>
      </c>
      <c r="H17" s="356">
        <v>20</v>
      </c>
      <c r="I17" s="356" t="s">
        <v>92</v>
      </c>
      <c r="J17" s="365" t="s">
        <v>45</v>
      </c>
      <c r="K17" s="370" t="s">
        <v>183</v>
      </c>
      <c r="L17" s="252" t="s">
        <v>26</v>
      </c>
      <c r="M17" s="357" t="s">
        <v>41</v>
      </c>
      <c r="N17" s="367" t="s">
        <v>85</v>
      </c>
      <c r="O17" s="358">
        <v>2017</v>
      </c>
      <c r="P17" s="254" t="s">
        <v>184</v>
      </c>
      <c r="Q17" s="312" t="s">
        <v>210</v>
      </c>
      <c r="R17" s="360"/>
      <c r="S17" s="460"/>
      <c r="T17" s="444" t="s">
        <v>262</v>
      </c>
      <c r="U17" s="460" t="s">
        <v>263</v>
      </c>
      <c r="W17" s="26" t="str">
        <f>IF(AND(F17=1,H17=5),$H$22,IF(AND(F17=1,H17=10),$J$22,IF(AND(F17=1,H17=20),#REF!," ")))</f>
        <v xml:space="preserve"> </v>
      </c>
      <c r="X17" s="26" t="str">
        <f>IF(AND(F17=2,H17=5),$H$23,IF(AND(F17=2,H17=10),$J$23,IF(AND(F17=2,H17=20),#REF!," ")))</f>
        <v xml:space="preserve"> </v>
      </c>
      <c r="Y17" s="26" t="e">
        <f>IF(AND(F17=3,H17=5),$H$24,IF(AND(F17=3,H17=10),$J$24,IF(AND(F17=3,H17=20),#REF!," ")))</f>
        <v>#REF!</v>
      </c>
      <c r="Z17" s="26" t="str">
        <f>IF(AND(F17=4,H17=5),$H$25,IF(AND(F17=4,H17=10),$J$25,IF(AND(F17=4,H17=20),#REF!," ")))</f>
        <v xml:space="preserve"> </v>
      </c>
      <c r="AA17" s="26" t="str">
        <f>IF(AND(F17=5,H17=5),$H$26,IF(AND(F17=5,H17=10),$J$26,IF(AND(F17=5,H17=20),#REF!," ")))</f>
        <v xml:space="preserve"> </v>
      </c>
      <c r="AD17" s="26" t="str">
        <f>IF(AND(L17&gt;0,'[17]EvaluaciónRiesgoCorrup R1'!$F$11&gt;75,F17=1,H17=5),$H$22,IF(AND(L17&gt;0,'[17]EvaluaciónRiesgoCorrup R1'!$F$11&gt;75,F17=1,H17=10),$J$22,IF(AND(L17&gt;0,'[17]EvaluaciónRiesgoCorrup R1'!$F$11&gt;75,F17=1,H17=20),#REF!," ")))</f>
        <v xml:space="preserve"> </v>
      </c>
      <c r="AE17" s="26" t="str">
        <f>IF(AND(L17&gt;0,'[17]EvaluaciónRiesgoCorrup R1'!$F$11&gt;75,F17=2,H17=5),$H$22,IF(AND(L17&gt;0,'[17]EvaluaciónRiesgoCorrup R1'!$F$11&gt;75,F17=2,H17=10),$J$22,IF(AND(L17&gt;0,'[17]EvaluaciónRiesgoCorrup R1'!$F$11&gt;75,F17=2,H17=20),#REF!," ")))</f>
        <v xml:space="preserve"> </v>
      </c>
      <c r="AF17" s="26" t="e">
        <f>IF(AND(L17&gt;0,'[17]EvaluaciónRiesgoCorrup R1'!$F$11&gt;75,F17=3,H17=5),$H$22,IF(AND(L17&gt;0,'[17]EvaluaciónRiesgoCorrup R1'!$F$11&gt;75,F17=3,H17=10),$J$22,IF(AND(L17&gt;0,'[17]EvaluaciónRiesgoCorrup R1'!$F$11&gt;75,F17=3,H17=20),#REF!," ")))</f>
        <v>#REF!</v>
      </c>
      <c r="AG17" s="26" t="str">
        <f>IF(AND(L17&gt;0,'[17]EvaluaciónRiesgoCorrup R1'!$F$11&gt;75,F17=4,H17=5),$H$23,IF(AND(L17&gt;0,'[17]EvaluaciónRiesgoCorrup R1'!$F$11&gt;75,F17=4,H17=10),$J$23,IF(AND(L17&gt;0,'[17]EvaluaciónRiesgoCorrup R1'!$F$11&gt;75,F17=4,H17=20),#REF!," ")))</f>
        <v xml:space="preserve"> </v>
      </c>
      <c r="AH17" s="26" t="str">
        <f>IF(AND(L17&gt;0,'[17]EvaluaciónRiesgoCorrup R1'!$F$11&gt;75,F17=5,H17=5),$H$24,IF(AND(L17&gt;0,'[17]EvaluaciónRiesgoCorrup R1'!$F$11&gt;75,F17=5,H17=10),$J$24,IF(AND(L17&gt;0,'[17]EvaluaciónRiesgoCorrup R1'!$F$11&gt;75,F17=5,H17=20),#REF!," ")))</f>
        <v xml:space="preserve"> </v>
      </c>
      <c r="AJ17" s="26" t="str">
        <f>IF(AND(L17&gt;0,'[17]EvaluaciónRiesgoCorrup R1'!$F$11&gt;50,'[17]EvaluaciónRiesgoCorrup R1'!$F$11&lt;76,F17=1,H17=5),$H$22,IF(AND(L17&gt;0,'[17]EvaluaciónRiesgoCorrup R1'!$F$11&gt;50,'[17]EvaluaciónRiesgoCorrup R1'!$F$11&lt;76,F17=1,H17=10),$J$22,IF(AND(L17&gt;0,'[17]EvaluaciónRiesgoCorrup R1'!$F$11&gt;50,'[17]EvaluaciónRiesgoCorrup R1'!$F$11&lt;76,F17=1,H17=20),#REF!," ")))</f>
        <v xml:space="preserve"> </v>
      </c>
      <c r="AK17" s="26" t="str">
        <f>IF(AND(L17&gt;0,'[17]EvaluaciónRiesgoCorrup R1'!$F$11&gt;50,'[17]EvaluaciónRiesgoCorrup R1'!$F$11&lt;76,F17=2,H17=5),$H$22,IF(AND(L17&gt;0,'[17]EvaluaciónRiesgoCorrup R1'!$F$11&gt;50,'[17]EvaluaciónRiesgoCorrup R1'!$F$11&lt;76,F17=2,H17=10),$J$22,IF(AND(L17&gt;0,'[17]EvaluaciónRiesgoCorrup R1'!$F$11&gt;50,'[17]EvaluaciónRiesgoCorrup R1'!$F$11&lt;76,F17=2,H17=20),#REF!," ")))</f>
        <v xml:space="preserve"> </v>
      </c>
      <c r="AL17" s="26" t="str">
        <f>IF(AND(L17&gt;0,'[17]EvaluaciónRiesgoCorrup R1'!$F$11&gt;50,'[17]EvaluaciónRiesgoCorrup R1'!$F$11&lt;76,F17=3,H17=5),$H$23,IF(AND(L17&gt;0,'[17]EvaluaciónRiesgoCorrup R1'!$F$11&gt;50,'[17]EvaluaciónRiesgoCorrup R1'!$F$11&lt;76,F17=3,H17=10),$J$23,IF(AND(L17&gt;0,'[17]EvaluaciónRiesgoCorrup R1'!$F$11&gt;50,'[17]EvaluaciónRiesgoCorrup R1'!$F$11&lt;76,F17=3,H17=20),#REF!," ")))</f>
        <v xml:space="preserve"> </v>
      </c>
      <c r="AM17" s="26" t="str">
        <f>IF(AND(L17&gt;0,'[17]EvaluaciónRiesgoCorrup R1'!$F$11&gt;50,'[17]EvaluaciónRiesgoCorrup R1'!$F$11&lt;76,F17=4,H17=5),$H$24,IF(AND(L17&gt;0,'[17]EvaluaciónRiesgoCorrup R1'!$F$11&gt;50,'[17]EvaluaciónRiesgoCorrup R1'!$F$11&lt;76,F17=4,H17=10),$J$24,IF(AND(L17&gt;0,'[17]EvaluaciónRiesgoCorrup R1'!$F$11&gt;50,'[17]EvaluaciónRiesgoCorrup R1'!$F$11&lt;76,F17=4,H17=20),#REF!," ")))</f>
        <v xml:space="preserve"> </v>
      </c>
      <c r="AN17" s="26" t="str">
        <f>IF(AND(L17&gt;0,'[17]EvaluaciónRiesgoCorrup R1'!$F$11&gt;50,'[17]EvaluaciónRiesgoCorrup R1'!$F$11&lt;76,F17=5,H17=5),$H$25,IF(AND(L17&gt;0,'[17]EvaluaciónRiesgoCorrup R1'!$F$11&gt;50,'[17]EvaluaciónRiesgoCorrup R1'!$F$11&lt;76,F17=5,H17=10),$J$25,IF(AND(L17&gt;0,'[17]EvaluaciónRiesgoCorrup R1'!$F$11&gt;50,'[17]EvaluaciónRiesgoCorrup R1'!$F$11&lt;76,F17=5,H17=20),#REF!," ")))</f>
        <v xml:space="preserve"> </v>
      </c>
      <c r="AQ17" s="26" t="str">
        <f>IF(AND(L17&gt;0,'[17]EvaluaciónRiesgoCorrup R1'!$F$11&lt;51,F17=1,H17=5),$H$22,IF(AND(L17&gt;0,'[17]EvaluaciónRiesgoCorrup R1'!$F$11&lt;51,F17=1,H17=10),$J$22,IF(AND(L17&gt;0,'[17]EvaluaciónRiesgoCorrup R1'!$F$11&lt;51,F17=1,H17=20),#REF!," ")))</f>
        <v xml:space="preserve"> </v>
      </c>
      <c r="AR17" s="26" t="str">
        <f>IF(AND(L17&gt;0,'[17]EvaluaciónRiesgoCorrup R1'!$F$11&lt;51,F17=2,H17=5),$H$23,IF(AND(L17&gt;0,'[17]EvaluaciónRiesgoCorrup R1'!$F$11&lt;51,F17=2,H17=10),$J$23,IF(AND(L17&gt;0,'[17]EvaluaciónRiesgoCorrup R1'!$F$11&lt;51,F17=2,H17=20),#REF!," ")))</f>
        <v xml:space="preserve"> </v>
      </c>
      <c r="AS17" s="26" t="str">
        <f>IF(AND(L17&gt;0,'[17]EvaluaciónRiesgoCorrup R1'!$F$11&lt;51,F17=3,H17=5),$H$24,IF(AND(L17&gt;0,'[17]EvaluaciónRiesgoCorrup R1'!$F$11&lt;51,F17=3,H17=10),$J$24,IF(AND(L17&gt;0,'[17]EvaluaciónRiesgoCorrup R1'!$F$11&lt;51,F17=3,H17=20),#REF!," ")))</f>
        <v xml:space="preserve"> </v>
      </c>
      <c r="AT17" s="26" t="str">
        <f>IF(AND(L17&gt;0,'[17]EvaluaciónRiesgoCorrup R1'!$F$11&lt;51,F17=4,H17=5),$H$25,IF(AND(L17&gt;0,'[17]EvaluaciónRiesgoCorrup R1'!$F$11&lt;51,F17=4,H17=10),$J$25,IF(AND(L17&gt;0,'[17]EvaluaciónRiesgoCorrup R1'!$F$11&lt;51,F17=4,H17=20),#REF!," ")))</f>
        <v xml:space="preserve"> </v>
      </c>
      <c r="AU17" s="26" t="str">
        <f>IF(AND(L17&gt;0,'[17]EvaluaciónRiesgoCorrup R1'!$F$11&lt;51,F17=5,H17=5),$H$26,IF(AND(L17&gt;0,'[17]EvaluaciónRiesgoCorrup R1'!$F$11&lt;51,F17=5,H17=10),$J$26,IF(AND(L17&gt;0,'[17]EvaluaciónRiesgoCorrup R1'!$F$11&lt;51,F17=5,H17=20),#REF!," ")))</f>
        <v xml:space="preserve"> </v>
      </c>
      <c r="AY17" s="26" t="e">
        <f>IF(AND(#REF!&gt;0,'[17]EvaluaciónRiesgoCorrup R1'!$F$11&gt;75,F17=1,H17=5),$H$22,IF(AND(#REF!&gt;0,'[17]EvaluaciónRiesgoCorrup R1'!$F$11&gt;75,F17=1,H17=10),$H$22,IF(AND(#REF!&gt;0,'[17]EvaluaciónRiesgoCorrup R1'!$F$11&gt;75,F17=1,H17=20),$H$22," ")))</f>
        <v>#REF!</v>
      </c>
      <c r="AZ17" s="26" t="e">
        <f>IF(AND(#REF!&gt;0,'[17]EvaluaciónRiesgoCorrup R1'!$F$11&gt;75,F17=2,H17=5),$H$23,IF(AND(#REF!&gt;0,'[17]EvaluaciónRiesgoCorrup R1'!$F$11&gt;75,F17=2,H17=10),$H$23,IF(AND(#REF!&gt;0,'[17]EvaluaciónRiesgoCorrup R1'!$F$11&gt;75,F17=2,H17=20),$H$23," ")))</f>
        <v>#REF!</v>
      </c>
      <c r="BA17" s="26" t="e">
        <f>IF(AND(#REF!&gt;0,'[17]EvaluaciónRiesgoCorrup R1'!$F$11&gt;75,F17=3,H17=5),$H$24,IF(AND(#REF!&gt;0,'[17]EvaluaciónRiesgoCorrup R1'!$F$11&gt;75,F17=3,H17=10),$H$24,IF(AND(#REF!&gt;0,'[17]EvaluaciónRiesgoCorrup R1'!$F$11&gt;75,F17=3,H17=20),$H$24," ")))</f>
        <v>#REF!</v>
      </c>
      <c r="BB17" s="26" t="e">
        <f>IF(AND(#REF!&gt;0,'[17]EvaluaciónRiesgoCorrup R1'!$F$11&gt;75,F17=4,H17=5),$H$25,IF(AND(#REF!&gt;0,'[17]EvaluaciónRiesgoCorrup R1'!$F$11&gt;75,F17=4,H17=10),$H$25,IF(AND(#REF!&gt;0,'[17]EvaluaciónRiesgoCorrup R1'!$F$11&gt;75,F17=4,H17=20),$H$25," ")))</f>
        <v>#REF!</v>
      </c>
      <c r="BC17" s="26" t="e">
        <f>IF(AND(#REF!&gt;0,'[17]EvaluaciónRiesgoCorrup R1'!$F$11&gt;75,F17=5,H17=5),$H$26,IF(AND(#REF!&gt;0,'[17]EvaluaciónRiesgoCorrup R1'!$F$11&gt;75,F17=5,H17=10),$H$26,IF(AND(#REF!&gt;0,'[17]EvaluaciónRiesgoCorrup R1'!$F$11&gt;75,F17=5,H17=20),$H$26," ")))</f>
        <v>#REF!</v>
      </c>
      <c r="BF17" s="26" t="e">
        <f>IF(AND(#REF!&gt;0,'[17]EvaluaciónRiesgoCorrup R1'!$F$11&gt;50,'[17]EvaluaciónRiesgoCorrup R1'!$F$11&lt;76,F17=1,H17=5),$H$22,IF(AND(#REF!&gt;0,'[17]EvaluaciónRiesgoCorrup R1'!$F$11&gt;50,'[17]EvaluaciónRiesgoCorrup R1'!$F$11&lt;76,F17=1,H17=10),$H$22,IF(AND(#REF!&gt;0,'[17]EvaluaciónRiesgoCorrup R1'!$F$11&gt;50,'[17]EvaluaciónRiesgoCorrup R1'!$F$11&lt;76,F17=1,H17=20),$J$22," ")))</f>
        <v>#REF!</v>
      </c>
      <c r="BG17" s="26" t="e">
        <f>IF(AND(#REF!&gt;0,'[17]EvaluaciónRiesgoCorrup R1'!$F$11&gt;50,'[17]EvaluaciónRiesgoCorrup R1'!$F$11&lt;76,F17=2,H17=5),$H$23,IF(AND(#REF!&gt;0,'[17]EvaluaciónRiesgoCorrup R1'!$F$11&gt;50,'[17]EvaluaciónRiesgoCorrup R1'!$F$11&lt;76,F17=2,H17=10),$H$23,IF(AND(#REF!&gt;0,'[17]EvaluaciónRiesgoCorrup R1'!$F$11&gt;50,'[17]EvaluaciónRiesgoCorrup R1'!$F$11&lt;76,F17=2,H17=20),$J$23," ")))</f>
        <v>#REF!</v>
      </c>
      <c r="BH17" s="26" t="e">
        <f>IF(AND(#REF!&gt;0,'[17]EvaluaciónRiesgoCorrup R1'!$F$11&gt;50,'[17]EvaluaciónRiesgoCorrup R1'!$F$11&lt;76,F17=3,H17=5),$H$24,IF(AND(#REF!&gt;0,'[17]EvaluaciónRiesgoCorrup R1'!$F$11&gt;50,'[17]EvaluaciónRiesgoCorrup R1'!$F$11&lt;76,F17=3,H17=10),$H$24,IF(AND(#REF!&gt;0,'[17]EvaluaciónRiesgoCorrup R1'!$F$11&gt;50,'[17]EvaluaciónRiesgoCorrup R1'!$F$11&lt;76,F17=3,H17=20),$J$24," ")))</f>
        <v>#REF!</v>
      </c>
      <c r="BI17" s="26" t="e">
        <f>IF(AND(#REF!&gt;0,'[17]EvaluaciónRiesgoCorrup R1'!$F$11&gt;50,'[17]EvaluaciónRiesgoCorrup R1'!$F$11&lt;76,F17=4,H17=5),$H$25,IF(AND(#REF!&gt;0,'[17]EvaluaciónRiesgoCorrup R1'!$F$11&gt;50,'[17]EvaluaciónRiesgoCorrup R1'!$F$11&lt;76,F17=4,H17=10),$H$25,IF(AND(#REF!&gt;0,'[17]EvaluaciónRiesgoCorrup R1'!$F$11&gt;50,'[17]EvaluaciónRiesgoCorrup R1'!$F$11&lt;76,F17=4,H17=20),$J$25," ")))</f>
        <v>#REF!</v>
      </c>
      <c r="BJ17" s="26" t="e">
        <f>IF(AND(#REF!&gt;0,'[17]EvaluaciónRiesgoCorrup R1'!$F$11&gt;50,'[17]EvaluaciónRiesgoCorrup R1'!$F$11&lt;76,F17=5,H17=5),$H$26,IF(AND(#REF!&gt;0,'[17]EvaluaciónRiesgoCorrup R1'!$F$11&gt;50,'[17]EvaluaciónRiesgoCorrup R1'!$F$11&lt;76,F17=5,H17=10),$H$26,IF(AND(#REF!&gt;0,'[17]EvaluaciónRiesgoCorrup R1'!$F$11&gt;50,'[17]EvaluaciónRiesgoCorrup R1'!$F$11&lt;76,F17=5,H17=20),$J$26," ")))</f>
        <v>#REF!</v>
      </c>
      <c r="BM17" s="26" t="e">
        <f>IF(AND(#REF!&gt;0,'[17]EvaluaciónRiesgoCorrup R1'!$F$11&lt;51,F17=1,H17=5),$H$22,IF(AND(#REF!&gt;0,'[17]EvaluaciónRiesgoCorrup R1'!$F$11&lt;51,F17=1,H17=10),$J$22,IF(AND(#REF!&gt;0,'[17]EvaluaciónRiesgoCorrup R1'!$F$11&lt;51,F17=1,H17=20),#REF!," ")))</f>
        <v>#REF!</v>
      </c>
      <c r="BN17" s="26" t="e">
        <f>IF(AND(#REF!&gt;0,'[17]EvaluaciónRiesgoCorrup R1'!$F$11&lt;51,F17=2,H17=5),$H$23,IF(AND(#REF!&gt;0,'[17]EvaluaciónRiesgoCorrup R1'!$F$11&lt;51,F17=2,H17=10),$J$23,IF(AND(#REF!&gt;0,'[17]EvaluaciónRiesgoCorrup R1'!$F$11&lt;51,F17=2,H17=20),#REF!," ")))</f>
        <v>#REF!</v>
      </c>
      <c r="BO17" s="26" t="e">
        <f>IF(AND(#REF!&gt;0,'[17]EvaluaciónRiesgoCorrup R1'!$F$11&lt;51,F17=3,H17=5),$H$24,IF(AND(#REF!&gt;0,'[17]EvaluaciónRiesgoCorrup R1'!$F$11&lt;51,F17=3,H17=10),$J$24,IF(AND(#REF!&gt;0,'[17]EvaluaciónRiesgoCorrup R1'!$F$11&lt;51,F17=3,H17=20),#REF!," ")))</f>
        <v>#REF!</v>
      </c>
      <c r="BP17" s="26" t="e">
        <f>IF(AND(#REF!&gt;0,'[17]EvaluaciónRiesgoCorrup R1'!$F$11&lt;51,F17=4,H17=5),$H$25,IF(AND(#REF!&gt;0,'[17]EvaluaciónRiesgoCorrup R1'!$F$11&lt;51,F17=4,H17=10),$J$25,IF(AND(#REF!&gt;0,'[17]EvaluaciónRiesgoCorrup R1'!$F$11&lt;51,F17=4,H17=20),#REF!," ")))</f>
        <v>#REF!</v>
      </c>
      <c r="BQ17" s="26" t="e">
        <f>IF(AND(#REF!&gt;0,'[17]EvaluaciónRiesgoCorrup R1'!$F$11&lt;51,F17=5,H17=5),$H$26,IF(AND(#REF!&gt;0,'[17]EvaluaciónRiesgoCorrup R1'!$F$11&lt;51,F17=5,H17=10),$J$26,IF(AND(#REF!&gt;0,'[17]EvaluaciónRiesgoCorrup R1'!$F$11&lt;51,F17=5,H17=20),#REF!," ")))</f>
        <v>#REF!</v>
      </c>
    </row>
    <row r="18" spans="1:69" x14ac:dyDescent="0.25">
      <c r="A18" s="26"/>
      <c r="B18" s="28"/>
      <c r="C18" s="28"/>
      <c r="D18" s="28"/>
      <c r="E18" s="31"/>
      <c r="L18" s="253"/>
      <c r="M18" s="6"/>
    </row>
    <row r="19" spans="1:69" ht="15" thickBot="1" x14ac:dyDescent="0.3">
      <c r="A19" s="26"/>
      <c r="B19" s="28"/>
      <c r="C19" s="28"/>
      <c r="D19" s="28"/>
      <c r="E19" s="31"/>
      <c r="H19" s="30"/>
      <c r="I19" s="30"/>
      <c r="J19" s="30"/>
      <c r="K19" s="30"/>
      <c r="L19" s="253"/>
      <c r="M19" s="6"/>
    </row>
    <row r="20" spans="1:69" ht="15.75" thickBot="1" x14ac:dyDescent="0.3">
      <c r="A20" s="6"/>
      <c r="B20" s="31"/>
      <c r="C20" s="31"/>
      <c r="D20" s="31"/>
      <c r="E20" s="31"/>
      <c r="F20" s="462" t="s">
        <v>26</v>
      </c>
      <c r="G20" s="77"/>
      <c r="H20" s="464" t="s">
        <v>10</v>
      </c>
      <c r="I20" s="464"/>
      <c r="J20" s="464"/>
      <c r="K20" s="464"/>
      <c r="L20" s="6"/>
      <c r="M20" s="6"/>
      <c r="P20" s="5"/>
      <c r="R20" s="2"/>
    </row>
    <row r="21" spans="1:69" ht="32.25" customHeight="1" thickBot="1" x14ac:dyDescent="0.3">
      <c r="A21" s="5"/>
      <c r="B21" s="32" t="s">
        <v>34</v>
      </c>
      <c r="C21" s="32"/>
      <c r="D21" s="32"/>
      <c r="E21" s="32"/>
      <c r="F21" s="463"/>
      <c r="G21" s="63"/>
      <c r="H21" s="33" t="s">
        <v>35</v>
      </c>
      <c r="I21" s="33"/>
      <c r="J21" s="34" t="s">
        <v>36</v>
      </c>
      <c r="K21" s="248"/>
      <c r="L21" s="6"/>
      <c r="M21" s="6"/>
      <c r="P21" s="5"/>
      <c r="R21" s="2"/>
    </row>
    <row r="22" spans="1:69" ht="30.75" customHeight="1" thickBot="1" x14ac:dyDescent="0.3">
      <c r="B22" s="530" t="s">
        <v>38</v>
      </c>
      <c r="C22" s="530"/>
      <c r="D22" s="531"/>
      <c r="E22" s="64"/>
      <c r="F22" s="35" t="s">
        <v>39</v>
      </c>
      <c r="G22" s="35"/>
      <c r="H22" s="36" t="s">
        <v>40</v>
      </c>
      <c r="I22" s="36"/>
      <c r="J22" s="36" t="s">
        <v>40</v>
      </c>
      <c r="K22" s="249"/>
      <c r="L22" s="6"/>
      <c r="M22" s="6"/>
      <c r="P22" s="5"/>
      <c r="R22" s="2"/>
    </row>
    <row r="23" spans="1:69" ht="15.75" thickBot="1" x14ac:dyDescent="0.3">
      <c r="F23" s="35" t="s">
        <v>42</v>
      </c>
      <c r="G23" s="35"/>
      <c r="H23" s="36" t="s">
        <v>40</v>
      </c>
      <c r="I23" s="36"/>
      <c r="J23" s="37" t="s">
        <v>41</v>
      </c>
      <c r="K23" s="250"/>
      <c r="L23" s="6"/>
      <c r="M23" s="6"/>
      <c r="P23" s="5"/>
      <c r="R23" s="2" t="s">
        <v>245</v>
      </c>
    </row>
    <row r="24" spans="1:69" ht="15.75" thickBot="1" x14ac:dyDescent="0.3">
      <c r="F24" s="35" t="s">
        <v>44</v>
      </c>
      <c r="G24" s="35"/>
      <c r="H24" s="37" t="s">
        <v>41</v>
      </c>
      <c r="I24" s="37"/>
      <c r="J24" s="38" t="s">
        <v>43</v>
      </c>
      <c r="K24" s="251"/>
      <c r="L24" s="6"/>
      <c r="M24" s="6"/>
      <c r="P24" s="5"/>
      <c r="R24" s="2"/>
    </row>
    <row r="25" spans="1:69" ht="15.75" thickBot="1" x14ac:dyDescent="0.3">
      <c r="F25" s="35" t="s">
        <v>46</v>
      </c>
      <c r="G25" s="35"/>
      <c r="H25" s="37" t="s">
        <v>41</v>
      </c>
      <c r="I25" s="37"/>
      <c r="J25" s="38" t="s">
        <v>43</v>
      </c>
      <c r="K25" s="251"/>
      <c r="L25" s="6"/>
      <c r="M25" s="6"/>
      <c r="P25" s="5"/>
      <c r="R25" s="2"/>
    </row>
    <row r="26" spans="1:69" ht="15.75" thickBot="1" x14ac:dyDescent="0.3">
      <c r="F26" s="35" t="s">
        <v>47</v>
      </c>
      <c r="G26" s="35"/>
      <c r="H26" s="37" t="s">
        <v>41</v>
      </c>
      <c r="I26" s="37"/>
      <c r="J26" s="38" t="s">
        <v>43</v>
      </c>
      <c r="K26" s="251"/>
      <c r="L26" s="6"/>
      <c r="M26" s="6"/>
      <c r="P26" s="5"/>
      <c r="R26" s="2"/>
    </row>
    <row r="27" spans="1:69" x14ac:dyDescent="0.25">
      <c r="F27" s="2"/>
      <c r="G27" s="2"/>
      <c r="H27" s="2"/>
      <c r="I27" s="2"/>
      <c r="J27" s="2"/>
      <c r="K27" s="2"/>
      <c r="L27" s="253"/>
      <c r="M27" s="6"/>
    </row>
    <row r="28" spans="1:69" ht="15" x14ac:dyDescent="0.25">
      <c r="F28" s="40" t="s">
        <v>48</v>
      </c>
      <c r="G28" s="40"/>
      <c r="H28" s="2"/>
      <c r="I28" s="2"/>
      <c r="J28" s="2"/>
      <c r="K28" s="2"/>
      <c r="L28" s="253"/>
      <c r="M28" s="253"/>
      <c r="N28" s="5"/>
      <c r="O28" s="5"/>
    </row>
    <row r="29" spans="1:69" ht="15" x14ac:dyDescent="0.25">
      <c r="F29" s="41" t="s">
        <v>49</v>
      </c>
      <c r="G29" s="41"/>
      <c r="H29" s="2"/>
      <c r="I29" s="2"/>
      <c r="J29" s="2"/>
      <c r="K29" s="2"/>
      <c r="L29" s="253"/>
      <c r="M29" s="253"/>
      <c r="N29" s="5"/>
      <c r="O29" s="5"/>
    </row>
    <row r="30" spans="1:69" ht="15" x14ac:dyDescent="0.25">
      <c r="F30" s="42" t="s">
        <v>50</v>
      </c>
      <c r="G30" s="42"/>
      <c r="H30" s="2"/>
      <c r="I30" s="2"/>
      <c r="J30" s="2"/>
      <c r="K30" s="2"/>
      <c r="L30" s="253"/>
      <c r="M30" s="253"/>
      <c r="N30" s="5"/>
      <c r="O30" s="5"/>
    </row>
    <row r="31" spans="1:69" ht="15" x14ac:dyDescent="0.25">
      <c r="F31" s="43" t="s">
        <v>51</v>
      </c>
      <c r="G31" s="43"/>
      <c r="H31" s="2"/>
      <c r="I31" s="2"/>
      <c r="J31" s="2"/>
      <c r="K31" s="2"/>
      <c r="L31" s="253"/>
      <c r="M31" s="253"/>
      <c r="N31" s="5"/>
      <c r="O31" s="5"/>
    </row>
    <row r="32" spans="1:69" x14ac:dyDescent="0.25">
      <c r="L32" s="253"/>
      <c r="M32" s="6"/>
    </row>
    <row r="33" spans="12:13" x14ac:dyDescent="0.25">
      <c r="L33" s="253"/>
      <c r="M33" s="6"/>
    </row>
    <row r="34" spans="12:13" x14ac:dyDescent="0.25">
      <c r="L34" s="253"/>
      <c r="M34" s="6"/>
    </row>
    <row r="35" spans="12:13" x14ac:dyDescent="0.25">
      <c r="L35" s="253"/>
      <c r="M35" s="6"/>
    </row>
    <row r="36" spans="12:13" x14ac:dyDescent="0.25">
      <c r="L36" s="253"/>
      <c r="M36" s="6"/>
    </row>
    <row r="37" spans="12:13" x14ac:dyDescent="0.25">
      <c r="L37" s="253"/>
      <c r="M37" s="6"/>
    </row>
    <row r="38" spans="12:13" x14ac:dyDescent="0.25">
      <c r="L38" s="253"/>
      <c r="M38" s="6"/>
    </row>
  </sheetData>
  <mergeCells count="34">
    <mergeCell ref="B22:D22"/>
    <mergeCell ref="R15:R16"/>
    <mergeCell ref="S15:S16"/>
    <mergeCell ref="T15:T16"/>
    <mergeCell ref="U15:U16"/>
    <mergeCell ref="F20:F21"/>
    <mergeCell ref="H20:K20"/>
    <mergeCell ref="O15:Q15"/>
    <mergeCell ref="A15:A16"/>
    <mergeCell ref="B15:B16"/>
    <mergeCell ref="D15:D16"/>
    <mergeCell ref="F15:H15"/>
    <mergeCell ref="L15:M15"/>
    <mergeCell ref="A12:D12"/>
    <mergeCell ref="AF13:AX13"/>
    <mergeCell ref="AZ13:BS13"/>
    <mergeCell ref="A14:D14"/>
    <mergeCell ref="F14:H14"/>
    <mergeCell ref="L14:M14"/>
    <mergeCell ref="O14:Q14"/>
    <mergeCell ref="R14:U14"/>
    <mergeCell ref="F12:V12"/>
    <mergeCell ref="A6:D6"/>
    <mergeCell ref="F6:U6"/>
    <mergeCell ref="A8:D8"/>
    <mergeCell ref="F8:U8"/>
    <mergeCell ref="A10:D10"/>
    <mergeCell ref="F10:U10"/>
    <mergeCell ref="A1:D4"/>
    <mergeCell ref="F1:S4"/>
    <mergeCell ref="T1:U1"/>
    <mergeCell ref="T2:U2"/>
    <mergeCell ref="T3:U3"/>
    <mergeCell ref="T4:U4"/>
  </mergeCells>
  <conditionalFormatting sqref="M17:N17 J17:K17">
    <cfRule type="containsText" dxfId="47" priority="5" operator="containsText" text="E">
      <formula>NOT(ISERROR(SEARCH("E",J17)))</formula>
    </cfRule>
    <cfRule type="containsText" dxfId="46" priority="6" operator="containsText" text="M">
      <formula>NOT(ISERROR(SEARCH("M",J17)))</formula>
    </cfRule>
    <cfRule type="containsText" dxfId="45" priority="7" operator="containsText" text="A">
      <formula>NOT(ISERROR(SEARCH("A",J17)))</formula>
    </cfRule>
    <cfRule type="containsText" dxfId="44" priority="8" operator="containsText" text="B">
      <formula>NOT(ISERROR(SEARCH("B",J17)))</formula>
    </cfRule>
  </conditionalFormatting>
  <pageMargins left="0.7" right="0.7" top="0.75" bottom="0.75" header="0.3" footer="0.3"/>
  <pageSetup scale="14"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33"/>
  <sheetViews>
    <sheetView showGridLines="0" view="pageBreakPreview" topLeftCell="D7" zoomScale="80" zoomScaleNormal="70" zoomScaleSheetLayoutView="80" workbookViewId="0">
      <selection activeCell="F12" sqref="F12:V12"/>
    </sheetView>
  </sheetViews>
  <sheetFormatPr baseColWidth="10" defaultColWidth="11.42578125" defaultRowHeight="14.25" x14ac:dyDescent="0.25"/>
  <cols>
    <col min="1" max="1" width="34.7109375" style="2" customWidth="1"/>
    <col min="2" max="2" width="25.5703125" style="2" customWidth="1"/>
    <col min="3" max="3" width="25.5703125" style="115" customWidth="1"/>
    <col min="4" max="4" width="19.7109375" style="2" customWidth="1"/>
    <col min="5" max="5" width="19.7109375" style="115" customWidth="1"/>
    <col min="6" max="6" width="27" style="5" customWidth="1"/>
    <col min="7" max="7" width="27" style="118" customWidth="1"/>
    <col min="8" max="8" width="19" style="5" customWidth="1"/>
    <col min="9" max="9" width="19" style="118" customWidth="1"/>
    <col min="10" max="10" width="26.7109375" style="5" customWidth="1"/>
    <col min="11" max="11" width="29.7109375" style="2" customWidth="1"/>
    <col min="12" max="12" width="21.5703125" style="5" customWidth="1"/>
    <col min="13" max="13" width="18.5703125" style="2" customWidth="1"/>
    <col min="14" max="14" width="21.7109375" style="2" customWidth="1"/>
    <col min="15" max="15" width="21.7109375" style="115" customWidth="1"/>
    <col min="16" max="16" width="19.85546875" style="2" customWidth="1"/>
    <col min="17" max="17" width="26" style="2" customWidth="1"/>
    <col min="18" max="18" width="39.42578125" style="2" customWidth="1"/>
    <col min="19" max="19" width="36.42578125" style="5" customWidth="1"/>
    <col min="20" max="20" width="166.7109375" style="2" customWidth="1"/>
    <col min="21" max="23" width="30.42578125" style="2" customWidth="1"/>
    <col min="24" max="24" width="36" style="2" hidden="1" customWidth="1"/>
    <col min="25" max="25" width="0" style="2" hidden="1" customWidth="1"/>
    <col min="26" max="72" width="11.42578125" style="2" hidden="1" customWidth="1"/>
    <col min="73" max="73" width="11.42578125" style="2" customWidth="1"/>
    <col min="74" max="16384" width="11.42578125" style="2"/>
  </cols>
  <sheetData>
    <row r="1" spans="1:72" ht="21" customHeight="1" x14ac:dyDescent="0.25">
      <c r="A1" s="491"/>
      <c r="B1" s="491"/>
      <c r="C1" s="491"/>
      <c r="D1" s="491"/>
      <c r="E1" s="72"/>
      <c r="F1" s="492" t="s">
        <v>0</v>
      </c>
      <c r="G1" s="493"/>
      <c r="H1" s="493"/>
      <c r="I1" s="493"/>
      <c r="J1" s="493"/>
      <c r="K1" s="493"/>
      <c r="L1" s="493"/>
      <c r="M1" s="493"/>
      <c r="N1" s="493"/>
      <c r="O1" s="493"/>
      <c r="P1" s="493"/>
      <c r="Q1" s="493"/>
      <c r="R1" s="493"/>
      <c r="S1" s="493"/>
      <c r="T1" s="494"/>
      <c r="U1" s="501" t="s">
        <v>1</v>
      </c>
      <c r="V1" s="502"/>
      <c r="W1" s="1"/>
      <c r="X1" s="1"/>
    </row>
    <row r="2" spans="1:72" ht="22.5" customHeight="1" x14ac:dyDescent="0.25">
      <c r="A2" s="491"/>
      <c r="B2" s="491"/>
      <c r="C2" s="491"/>
      <c r="D2" s="491"/>
      <c r="E2" s="73"/>
      <c r="F2" s="495"/>
      <c r="G2" s="496"/>
      <c r="H2" s="496"/>
      <c r="I2" s="496"/>
      <c r="J2" s="496"/>
      <c r="K2" s="496"/>
      <c r="L2" s="496"/>
      <c r="M2" s="496"/>
      <c r="N2" s="496"/>
      <c r="O2" s="496"/>
      <c r="P2" s="496"/>
      <c r="Q2" s="496"/>
      <c r="R2" s="496"/>
      <c r="S2" s="496"/>
      <c r="T2" s="497"/>
      <c r="U2" s="522" t="s">
        <v>162</v>
      </c>
      <c r="V2" s="522"/>
      <c r="W2" s="522"/>
      <c r="X2" s="1"/>
    </row>
    <row r="3" spans="1:72" ht="21" customHeight="1" x14ac:dyDescent="0.25">
      <c r="A3" s="491"/>
      <c r="B3" s="491"/>
      <c r="C3" s="491"/>
      <c r="D3" s="491"/>
      <c r="E3" s="73"/>
      <c r="F3" s="495"/>
      <c r="G3" s="496"/>
      <c r="H3" s="496"/>
      <c r="I3" s="496"/>
      <c r="J3" s="496"/>
      <c r="K3" s="496"/>
      <c r="L3" s="496"/>
      <c r="M3" s="496"/>
      <c r="N3" s="496"/>
      <c r="O3" s="496"/>
      <c r="P3" s="496"/>
      <c r="Q3" s="496"/>
      <c r="R3" s="496"/>
      <c r="S3" s="496"/>
      <c r="T3" s="497"/>
      <c r="U3" s="522" t="s">
        <v>163</v>
      </c>
      <c r="V3" s="522"/>
      <c r="W3" s="522"/>
      <c r="X3" s="1"/>
    </row>
    <row r="4" spans="1:72" ht="20.25" customHeight="1" x14ac:dyDescent="0.25">
      <c r="A4" s="491"/>
      <c r="B4" s="491"/>
      <c r="C4" s="491"/>
      <c r="D4" s="491"/>
      <c r="E4" s="74"/>
      <c r="F4" s="498"/>
      <c r="G4" s="499"/>
      <c r="H4" s="499"/>
      <c r="I4" s="499"/>
      <c r="J4" s="499"/>
      <c r="K4" s="499"/>
      <c r="L4" s="499"/>
      <c r="M4" s="499"/>
      <c r="N4" s="499"/>
      <c r="O4" s="499"/>
      <c r="P4" s="499"/>
      <c r="Q4" s="499"/>
      <c r="R4" s="499"/>
      <c r="S4" s="499"/>
      <c r="T4" s="500"/>
      <c r="U4" s="501" t="s">
        <v>2</v>
      </c>
      <c r="V4" s="502"/>
      <c r="W4" s="1"/>
      <c r="X4" s="1"/>
    </row>
    <row r="5" spans="1:72" ht="8.25" customHeight="1" x14ac:dyDescent="0.25">
      <c r="B5" s="3"/>
      <c r="C5" s="116"/>
      <c r="D5" s="3"/>
      <c r="E5" s="116"/>
      <c r="F5" s="4"/>
      <c r="G5" s="117"/>
      <c r="H5" s="4"/>
      <c r="I5" s="117"/>
      <c r="J5" s="4"/>
      <c r="K5" s="4"/>
      <c r="L5" s="4"/>
      <c r="M5" s="4"/>
      <c r="N5" s="4"/>
      <c r="O5" s="117"/>
      <c r="P5" s="4"/>
      <c r="Q5" s="4"/>
      <c r="W5" s="6"/>
      <c r="X5" s="6"/>
    </row>
    <row r="6" spans="1:72" ht="15" x14ac:dyDescent="0.25">
      <c r="A6" s="471" t="s">
        <v>3</v>
      </c>
      <c r="B6" s="471"/>
      <c r="C6" s="471"/>
      <c r="D6" s="471"/>
      <c r="E6" s="75"/>
      <c r="F6" s="485" t="s">
        <v>74</v>
      </c>
      <c r="G6" s="486"/>
      <c r="H6" s="486"/>
      <c r="I6" s="486"/>
      <c r="J6" s="486"/>
      <c r="K6" s="486"/>
      <c r="L6" s="486"/>
      <c r="M6" s="486"/>
      <c r="N6" s="486"/>
      <c r="O6" s="486"/>
      <c r="P6" s="486"/>
      <c r="Q6" s="486"/>
      <c r="R6" s="486"/>
      <c r="S6" s="486"/>
      <c r="T6" s="486"/>
      <c r="U6" s="486"/>
      <c r="V6" s="487"/>
      <c r="W6" s="6"/>
      <c r="X6" s="6"/>
    </row>
    <row r="7" spans="1:72" ht="6.75" customHeight="1" x14ac:dyDescent="0.25">
      <c r="B7" s="3"/>
      <c r="C7" s="116"/>
      <c r="D7" s="3"/>
      <c r="E7" s="116"/>
      <c r="F7" s="7"/>
      <c r="G7" s="121"/>
      <c r="H7" s="7"/>
      <c r="I7" s="121"/>
      <c r="J7" s="7"/>
      <c r="K7" s="7"/>
      <c r="L7" s="7"/>
      <c r="M7" s="7"/>
      <c r="N7" s="7"/>
      <c r="O7" s="121"/>
      <c r="P7" s="7"/>
      <c r="Q7" s="7"/>
      <c r="R7" s="8"/>
      <c r="S7" s="8"/>
      <c r="T7" s="8"/>
      <c r="U7" s="8"/>
      <c r="V7" s="8"/>
      <c r="W7" s="6"/>
      <c r="X7" s="6"/>
    </row>
    <row r="8" spans="1:72" ht="39.75" customHeight="1" x14ac:dyDescent="0.25">
      <c r="A8" s="471" t="s">
        <v>4</v>
      </c>
      <c r="B8" s="471"/>
      <c r="C8" s="471"/>
      <c r="D8" s="471"/>
      <c r="E8" s="75"/>
      <c r="F8" s="488" t="str">
        <f>[18]IdentRiesgo!B3</f>
        <v>Brindar el apoyo logístico mediante el suministro de materiales, equipos, elementos y servicios con el fin de proporcionar un ambiente adecuado de trabajo y satisfacer las necesidades de bienes y servicios requeridos para el excelente funcionamiento del IDEAM</v>
      </c>
      <c r="G8" s="489"/>
      <c r="H8" s="489"/>
      <c r="I8" s="489"/>
      <c r="J8" s="489"/>
      <c r="K8" s="489"/>
      <c r="L8" s="489"/>
      <c r="M8" s="489"/>
      <c r="N8" s="489"/>
      <c r="O8" s="489"/>
      <c r="P8" s="489"/>
      <c r="Q8" s="489"/>
      <c r="R8" s="489"/>
      <c r="S8" s="489"/>
      <c r="T8" s="489"/>
      <c r="U8" s="489"/>
      <c r="V8" s="490"/>
      <c r="W8" s="9"/>
      <c r="X8" s="9"/>
    </row>
    <row r="9" spans="1:72" ht="6.75" customHeight="1" x14ac:dyDescent="0.25">
      <c r="B9" s="10"/>
      <c r="C9" s="119"/>
      <c r="D9" s="10"/>
      <c r="E9" s="119"/>
      <c r="F9" s="11"/>
      <c r="G9" s="122"/>
      <c r="H9" s="11"/>
      <c r="I9" s="122"/>
      <c r="J9" s="11"/>
      <c r="K9" s="11"/>
      <c r="L9" s="11"/>
      <c r="M9" s="11"/>
      <c r="N9" s="11"/>
      <c r="O9" s="122"/>
      <c r="P9" s="11"/>
      <c r="Q9" s="11"/>
      <c r="R9" s="8"/>
      <c r="S9" s="8"/>
      <c r="T9" s="8"/>
      <c r="U9" s="8"/>
      <c r="V9" s="8"/>
      <c r="W9" s="6"/>
      <c r="X9" s="6"/>
    </row>
    <row r="10" spans="1:72" ht="15" x14ac:dyDescent="0.25">
      <c r="A10" s="471" t="s">
        <v>5</v>
      </c>
      <c r="B10" s="471"/>
      <c r="C10" s="471"/>
      <c r="D10" s="471"/>
      <c r="E10" s="75"/>
      <c r="F10" s="472" t="s">
        <v>75</v>
      </c>
      <c r="G10" s="473"/>
      <c r="H10" s="473"/>
      <c r="I10" s="473"/>
      <c r="J10" s="473"/>
      <c r="K10" s="473"/>
      <c r="L10" s="473"/>
      <c r="M10" s="473"/>
      <c r="N10" s="473"/>
      <c r="O10" s="473"/>
      <c r="P10" s="473"/>
      <c r="Q10" s="473"/>
      <c r="R10" s="473"/>
      <c r="S10" s="473"/>
      <c r="T10" s="473"/>
      <c r="U10" s="473"/>
      <c r="V10" s="474"/>
      <c r="W10" s="12"/>
      <c r="X10" s="12"/>
    </row>
    <row r="11" spans="1:72" ht="5.25" customHeight="1" x14ac:dyDescent="0.25">
      <c r="B11" s="3"/>
      <c r="C11" s="116"/>
      <c r="D11" s="3"/>
      <c r="E11" s="116"/>
      <c r="F11" s="13"/>
      <c r="G11" s="141"/>
      <c r="H11" s="13"/>
      <c r="I11" s="141"/>
      <c r="J11" s="13"/>
      <c r="K11" s="13"/>
      <c r="L11" s="13"/>
      <c r="M11" s="13"/>
      <c r="N11" s="13"/>
      <c r="O11" s="141"/>
      <c r="P11" s="13"/>
      <c r="Q11" s="13"/>
      <c r="R11" s="8"/>
      <c r="S11" s="8"/>
      <c r="T11" s="8"/>
      <c r="U11" s="8"/>
      <c r="V11" s="8"/>
      <c r="W11" s="6"/>
      <c r="X11" s="6"/>
    </row>
    <row r="12" spans="1:72" ht="15.75" x14ac:dyDescent="0.25">
      <c r="A12" s="471" t="s">
        <v>6</v>
      </c>
      <c r="B12" s="471"/>
      <c r="C12" s="471"/>
      <c r="D12" s="471"/>
      <c r="E12" s="75"/>
      <c r="F12" s="503">
        <f ca="1">NOW()</f>
        <v>43130.660336342589</v>
      </c>
      <c r="G12" s="504"/>
      <c r="H12" s="504"/>
      <c r="I12" s="504"/>
      <c r="J12" s="504"/>
      <c r="K12" s="504"/>
      <c r="L12" s="504"/>
      <c r="M12" s="504"/>
      <c r="N12" s="504"/>
      <c r="O12" s="504"/>
      <c r="P12" s="504"/>
      <c r="Q12" s="504"/>
      <c r="R12" s="504"/>
      <c r="S12" s="504"/>
      <c r="T12" s="504"/>
      <c r="U12" s="504"/>
      <c r="V12" s="505"/>
      <c r="W12" s="12"/>
      <c r="X12" s="12"/>
      <c r="AA12" s="2" t="s">
        <v>7</v>
      </c>
    </row>
    <row r="13" spans="1:72" ht="15.75" thickBot="1" x14ac:dyDescent="0.3">
      <c r="B13" s="3"/>
      <c r="C13" s="116"/>
      <c r="D13" s="3"/>
      <c r="E13" s="116"/>
      <c r="F13" s="14"/>
      <c r="G13" s="123"/>
      <c r="H13" s="15"/>
      <c r="I13" s="120"/>
      <c r="J13" s="15"/>
      <c r="K13" s="7"/>
      <c r="L13" s="15"/>
      <c r="M13" s="7"/>
      <c r="N13" s="7"/>
      <c r="O13" s="121"/>
      <c r="P13" s="7"/>
      <c r="Q13" s="7"/>
      <c r="R13" s="7"/>
      <c r="S13" s="15"/>
      <c r="T13" s="7"/>
      <c r="W13" s="6"/>
      <c r="X13" s="6"/>
      <c r="AA13" s="2" t="s">
        <v>8</v>
      </c>
      <c r="AG13" s="475" t="s">
        <v>9</v>
      </c>
      <c r="AH13" s="475"/>
      <c r="AI13" s="475"/>
      <c r="AJ13" s="475"/>
      <c r="AK13" s="475"/>
      <c r="AL13" s="475"/>
      <c r="AM13" s="475"/>
      <c r="AN13" s="475"/>
      <c r="AO13" s="475"/>
      <c r="AP13" s="475"/>
      <c r="AQ13" s="475"/>
      <c r="AR13" s="475"/>
      <c r="AS13" s="475"/>
      <c r="AT13" s="475"/>
      <c r="AU13" s="475"/>
      <c r="AV13" s="475"/>
      <c r="AW13" s="475"/>
      <c r="AX13" s="475"/>
      <c r="AY13" s="475"/>
      <c r="BA13" s="475" t="s">
        <v>10</v>
      </c>
      <c r="BB13" s="475"/>
      <c r="BC13" s="475"/>
      <c r="BD13" s="475"/>
      <c r="BE13" s="475"/>
      <c r="BF13" s="475"/>
      <c r="BG13" s="475"/>
      <c r="BH13" s="475"/>
      <c r="BI13" s="475"/>
      <c r="BJ13" s="475"/>
      <c r="BK13" s="475"/>
      <c r="BL13" s="475"/>
      <c r="BM13" s="475"/>
      <c r="BN13" s="475"/>
      <c r="BO13" s="475"/>
      <c r="BP13" s="475"/>
      <c r="BQ13" s="475"/>
      <c r="BR13" s="475"/>
      <c r="BS13" s="475"/>
      <c r="BT13" s="475"/>
    </row>
    <row r="14" spans="1:72" s="17" customFormat="1" ht="15" customHeight="1" x14ac:dyDescent="0.25">
      <c r="A14" s="476" t="s">
        <v>11</v>
      </c>
      <c r="B14" s="477"/>
      <c r="C14" s="477"/>
      <c r="D14" s="478"/>
      <c r="E14" s="76"/>
      <c r="F14" s="479" t="s">
        <v>12</v>
      </c>
      <c r="G14" s="479"/>
      <c r="H14" s="479"/>
      <c r="I14" s="136"/>
      <c r="J14" s="16"/>
      <c r="K14" s="480" t="s">
        <v>13</v>
      </c>
      <c r="L14" s="476" t="s">
        <v>14</v>
      </c>
      <c r="M14" s="477"/>
      <c r="N14" s="478"/>
      <c r="O14" s="142"/>
      <c r="P14" s="483" t="s">
        <v>15</v>
      </c>
      <c r="Q14" s="483"/>
      <c r="R14" s="483"/>
      <c r="S14" s="483" t="s">
        <v>16</v>
      </c>
      <c r="T14" s="483"/>
      <c r="U14" s="483"/>
      <c r="V14" s="483"/>
    </row>
    <row r="15" spans="1:72" s="17" customFormat="1" ht="14.25" customHeight="1" x14ac:dyDescent="0.25">
      <c r="A15" s="481" t="s">
        <v>17</v>
      </c>
      <c r="B15" s="481" t="s">
        <v>18</v>
      </c>
      <c r="C15" s="143"/>
      <c r="D15" s="481" t="s">
        <v>19</v>
      </c>
      <c r="E15" s="143"/>
      <c r="F15" s="461" t="s">
        <v>20</v>
      </c>
      <c r="G15" s="461"/>
      <c r="H15" s="461"/>
      <c r="I15" s="137"/>
      <c r="J15" s="18"/>
      <c r="K15" s="481"/>
      <c r="L15" s="466" t="s">
        <v>21</v>
      </c>
      <c r="M15" s="467"/>
      <c r="N15" s="468"/>
      <c r="O15" s="144"/>
      <c r="P15" s="466" t="s">
        <v>22</v>
      </c>
      <c r="Q15" s="467"/>
      <c r="R15" s="468"/>
      <c r="S15" s="461" t="s">
        <v>23</v>
      </c>
      <c r="T15" s="461" t="s">
        <v>24</v>
      </c>
      <c r="U15" s="461" t="s">
        <v>5</v>
      </c>
      <c r="V15" s="461" t="s">
        <v>25</v>
      </c>
    </row>
    <row r="16" spans="1:72" s="17" customFormat="1" ht="63" customHeight="1" x14ac:dyDescent="0.25">
      <c r="A16" s="484"/>
      <c r="B16" s="484"/>
      <c r="C16" s="138" t="s">
        <v>77</v>
      </c>
      <c r="D16" s="484"/>
      <c r="E16" s="138" t="s">
        <v>78</v>
      </c>
      <c r="F16" s="18" t="s">
        <v>26</v>
      </c>
      <c r="G16" s="137" t="s">
        <v>77</v>
      </c>
      <c r="H16" s="18" t="s">
        <v>10</v>
      </c>
      <c r="I16" s="137" t="s">
        <v>77</v>
      </c>
      <c r="J16" s="18" t="s">
        <v>27</v>
      </c>
      <c r="K16" s="482"/>
      <c r="L16" s="18" t="s">
        <v>26</v>
      </c>
      <c r="M16" s="18" t="s">
        <v>10</v>
      </c>
      <c r="N16" s="20" t="s">
        <v>27</v>
      </c>
      <c r="O16" s="138" t="s">
        <v>81</v>
      </c>
      <c r="P16" s="18" t="s">
        <v>28</v>
      </c>
      <c r="Q16" s="18" t="s">
        <v>24</v>
      </c>
      <c r="R16" s="18" t="s">
        <v>29</v>
      </c>
      <c r="S16" s="461"/>
      <c r="T16" s="461"/>
      <c r="U16" s="461"/>
      <c r="V16" s="461"/>
    </row>
    <row r="17" spans="1:70" ht="409.6" customHeight="1" x14ac:dyDescent="0.25">
      <c r="A17" s="373" t="s">
        <v>108</v>
      </c>
      <c r="B17" s="373" t="s">
        <v>109</v>
      </c>
      <c r="C17" s="373" t="s">
        <v>110</v>
      </c>
      <c r="D17" s="373" t="s">
        <v>111</v>
      </c>
      <c r="E17" s="374" t="s">
        <v>89</v>
      </c>
      <c r="F17" s="375">
        <v>1</v>
      </c>
      <c r="G17" s="375" t="s">
        <v>91</v>
      </c>
      <c r="H17" s="376">
        <v>20</v>
      </c>
      <c r="I17" s="376" t="s">
        <v>92</v>
      </c>
      <c r="J17" s="377" t="s">
        <v>41</v>
      </c>
      <c r="K17" s="383" t="s">
        <v>112</v>
      </c>
      <c r="L17" s="469" t="s">
        <v>10</v>
      </c>
      <c r="M17" s="470"/>
      <c r="N17" s="377" t="s">
        <v>40</v>
      </c>
      <c r="O17" s="378" t="s">
        <v>97</v>
      </c>
      <c r="P17" s="379" t="s">
        <v>106</v>
      </c>
      <c r="Q17" s="380" t="s">
        <v>113</v>
      </c>
      <c r="R17" s="380" t="s">
        <v>107</v>
      </c>
      <c r="S17" s="381"/>
      <c r="T17" s="411"/>
      <c r="U17" s="412" t="s">
        <v>264</v>
      </c>
      <c r="V17" s="382"/>
      <c r="X17" s="26" t="str">
        <f>IF(AND(F17=1,H17=5),$H$24,IF(AND(F17=1,H17=10),$J$24,IF(AND(F17=1,H17=20),$K$24," ")))</f>
        <v>M</v>
      </c>
      <c r="Y17" s="26" t="str">
        <f>IF(AND(F17=2,H17=5),$H$25,IF(AND(F17=2,H17=10),$J$25,IF(AND(F17=2,H17=20),$K$25," ")))</f>
        <v xml:space="preserve"> </v>
      </c>
      <c r="Z17" s="26" t="str">
        <f>IF(AND(F17=3,H17=5),$H$26,IF(AND(F17=3,H17=10),$J$26,IF(AND(F17=3,H17=20),$K$26," ")))</f>
        <v xml:space="preserve"> </v>
      </c>
      <c r="AA17" s="26" t="str">
        <f>IF(AND(F17=4,H17=5),$H$27,IF(AND(F17=4,H17=10),$J$27,IF(AND(F17=4,H17=20),$K$27," ")))</f>
        <v xml:space="preserve"> </v>
      </c>
      <c r="AB17" s="26" t="str">
        <f>IF(AND(F17=5,H17=5),$H$28,IF(AND(F17=5,H17=10),$J$28,IF(AND(F17=5,H17=20),$K$28," ")))</f>
        <v xml:space="preserve"> </v>
      </c>
      <c r="AE17" s="26" t="str">
        <f>IF(AND(L17&gt;0,'[18]EvaluaciónRiesgoCorrup 1'!$F$11&gt;75,F17=1,H17=5),$H$24,IF(AND(L17&gt;0,'[18]EvaluaciónRiesgoCorrup 1'!$F$11&gt;75,F17=1,H17=10),$J$24,IF(AND(L17&gt;0,'[18]EvaluaciónRiesgoCorrup 1'!$F$11&gt;75,F17=1,H17=20),$K$24," ")))</f>
        <v>M</v>
      </c>
      <c r="AF17" s="26" t="str">
        <f>IF(AND(L17&gt;0,'[18]EvaluaciónRiesgoCorrup 1'!$F$11&gt;75,F17=2,H17=5),$H$24,IF(AND(L17&gt;0,'[18]EvaluaciónRiesgoCorrup 1'!$F$11&gt;75,F17=2,H17=10),$J$24,IF(AND(L17&gt;0,'[18]EvaluaciónRiesgoCorrup 1'!$F$11&gt;75,F17=2,H17=20),$K$24," ")))</f>
        <v xml:space="preserve"> </v>
      </c>
      <c r="AG17" s="26" t="str">
        <f>IF(AND(L17&gt;0,'[18]EvaluaciónRiesgoCorrup 1'!$F$11&gt;75,F17=3,H17=5),$H$24,IF(AND(L17&gt;0,'[18]EvaluaciónRiesgoCorrup 1'!$F$11&gt;75,F17=3,H17=10),$J$24,IF(AND(L17&gt;0,'[18]EvaluaciónRiesgoCorrup 1'!$F$11&gt;75,F17=3,H17=20),$K$24," ")))</f>
        <v xml:space="preserve"> </v>
      </c>
      <c r="AH17" s="26" t="str">
        <f>IF(AND(L17&gt;0,'[18]EvaluaciónRiesgoCorrup 1'!$F$11&gt;75,F17=4,H17=5),$H$25,IF(AND(L17&gt;0,'[18]EvaluaciónRiesgoCorrup 1'!$F$11&gt;75,F17=4,H17=10),$J$25,IF(AND(L17&gt;0,'[18]EvaluaciónRiesgoCorrup 1'!$F$11&gt;75,F17=4,H17=20),$K$25," ")))</f>
        <v xml:space="preserve"> </v>
      </c>
      <c r="AI17" s="26" t="str">
        <f>IF(AND(L17&gt;0,'[18]EvaluaciónRiesgoCorrup 1'!$F$11&gt;75,F17=5,H17=5),$H$26,IF(AND(L17&gt;0,'[18]EvaluaciónRiesgoCorrup 1'!$F$11&gt;75,F17=5,H17=10),$J$26,IF(AND(L17&gt;0,'[18]EvaluaciónRiesgoCorrup 1'!$F$11&gt;75,F17=5,H17=20),$K$26," ")))</f>
        <v xml:space="preserve"> </v>
      </c>
      <c r="AK17" s="26" t="str">
        <f>IF(AND(L17&gt;0,'[18]EvaluaciónRiesgoCorrup 1'!$F$11&gt;50,'[18]EvaluaciónRiesgoCorrup 1'!$F$11&lt;76,F17=1,H17=5),$H$24,IF(AND(L17&gt;0,'[18]EvaluaciónRiesgoCorrup 1'!$F$11&gt;50,'[18]EvaluaciónRiesgoCorrup 1'!$F$11&lt;76,F17=1,H17=10),$J$24,IF(AND(L17&gt;0,'[18]EvaluaciónRiesgoCorrup 1'!$F$11&gt;50,'[18]EvaluaciónRiesgoCorrup 1'!$F$11&lt;76,F17=1,H17=20),$K$24," ")))</f>
        <v xml:space="preserve"> </v>
      </c>
      <c r="AL17" s="26" t="str">
        <f>IF(AND(L17&gt;0,'[18]EvaluaciónRiesgoCorrup 1'!$F$11&gt;50,'[18]EvaluaciónRiesgoCorrup 1'!$F$11&lt;76,F17=2,H17=5),$H$24,IF(AND(L17&gt;0,'[18]EvaluaciónRiesgoCorrup 1'!$F$11&gt;50,'[18]EvaluaciónRiesgoCorrup 1'!$F$11&lt;76,F17=2,H17=10),$J$24,IF(AND(L17&gt;0,'[18]EvaluaciónRiesgoCorrup 1'!$F$11&gt;50,'[18]EvaluaciónRiesgoCorrup 1'!$F$11&lt;76,F17=2,H17=20),$K$24," ")))</f>
        <v xml:space="preserve"> </v>
      </c>
      <c r="AM17" s="26" t="str">
        <f>IF(AND(L17&gt;0,'[18]EvaluaciónRiesgoCorrup 1'!$F$11&gt;50,'[18]EvaluaciónRiesgoCorrup 1'!$F$11&lt;76,F17=3,H17=5),$H$25,IF(AND(L17&gt;0,'[18]EvaluaciónRiesgoCorrup 1'!$F$11&gt;50,'[18]EvaluaciónRiesgoCorrup 1'!$F$11&lt;76,F17=3,H17=10),$J$25,IF(AND(L17&gt;0,'[18]EvaluaciónRiesgoCorrup 1'!$F$11&gt;50,'[18]EvaluaciónRiesgoCorrup 1'!$F$11&lt;76,F17=3,H17=20),$K$25," ")))</f>
        <v xml:space="preserve"> </v>
      </c>
      <c r="AN17" s="26" t="str">
        <f>IF(AND(L17&gt;0,'[18]EvaluaciónRiesgoCorrup 1'!$F$11&gt;50,'[18]EvaluaciónRiesgoCorrup 1'!$F$11&lt;76,F17=4,H17=5),$H$26,IF(AND(L17&gt;0,'[18]EvaluaciónRiesgoCorrup 1'!$F$11&gt;50,'[18]EvaluaciónRiesgoCorrup 1'!$F$11&lt;76,F17=4,H17=10),$J$26,IF(AND(L17&gt;0,'[18]EvaluaciónRiesgoCorrup 1'!$F$11&gt;50,'[18]EvaluaciónRiesgoCorrup 1'!$F$11&lt;76,F17=4,H17=20),$K$26," ")))</f>
        <v xml:space="preserve"> </v>
      </c>
      <c r="AO17" s="26" t="str">
        <f>IF(AND(L17&gt;0,'[18]EvaluaciónRiesgoCorrup 1'!$F$11&gt;50,'[18]EvaluaciónRiesgoCorrup 1'!$F$11&lt;76,F17=5,H17=5),$H$27,IF(AND(L17&gt;0,'[18]EvaluaciónRiesgoCorrup 1'!$F$11&gt;50,'[18]EvaluaciónRiesgoCorrup 1'!$F$11&lt;76,F17=5,H17=10),$J$27,IF(AND(L17&gt;0,'[18]EvaluaciónRiesgoCorrup 1'!$F$11&gt;50,'[18]EvaluaciónRiesgoCorrup 1'!$F$11&lt;76,F17=5,H17=20),$K$27," ")))</f>
        <v xml:space="preserve"> </v>
      </c>
      <c r="AR17" s="26" t="str">
        <f>IF(AND(L17&gt;0,'[18]EvaluaciónRiesgoCorrup 1'!$F$11&lt;51,F17=1,H17=5),$H$24,IF(AND(L17&gt;0,'[18]EvaluaciónRiesgoCorrup 1'!$F$11&lt;51,F17=1,H17=10),$J$24,IF(AND(L17&gt;0,'[18]EvaluaciónRiesgoCorrup 1'!$F$11&lt;51,F17=1,H17=20),K$24," ")))</f>
        <v xml:space="preserve"> </v>
      </c>
      <c r="AS17" s="26" t="str">
        <f>IF(AND(L17&gt;0,'[18]EvaluaciónRiesgoCorrup 1'!$F$11&lt;51,F17=2,H17=5),$H$25,IF(AND(L17&gt;0,'[18]EvaluaciónRiesgoCorrup 1'!$F$11&lt;51,F17=2,H17=10),$J$25,IF(AND(L17&gt;0,'[18]EvaluaciónRiesgoCorrup 1'!$F$11&lt;51,F17=2,H17=20),K$25," ")))</f>
        <v xml:space="preserve"> </v>
      </c>
      <c r="AT17" s="26" t="str">
        <f>IF(AND(L17&gt;0,'[18]EvaluaciónRiesgoCorrup 1'!$F$11&lt;51,F17=3,H17=5),$H$26,IF(AND(L17&gt;0,'[18]EvaluaciónRiesgoCorrup 1'!$F$11&lt;51,F17=3,H17=10),$J$26,IF(AND(L17&gt;0,'[18]EvaluaciónRiesgoCorrup 1'!$F$11&lt;51,F17=3,H17=20),K$26," ")))</f>
        <v xml:space="preserve"> </v>
      </c>
      <c r="AU17" s="26" t="str">
        <f>IF(AND(L17&gt;0,'[18]EvaluaciónRiesgoCorrup 1'!$F$11&lt;51,F17=4,H17=5),$H$27,IF(AND(L17&gt;0,'[18]EvaluaciónRiesgoCorrup 1'!$F$11&lt;51,F17=4,H17=10),$J$27,IF(AND(L17&gt;0,'[18]EvaluaciónRiesgoCorrup 1'!$F$11&lt;51,F17=4,H17=20),K$27," ")))</f>
        <v xml:space="preserve"> </v>
      </c>
      <c r="AV17" s="26" t="str">
        <f>IF(AND(L17&gt;0,'[18]EvaluaciónRiesgoCorrup 1'!$F$11&lt;51,F17=5,H17=5),$H$28,IF(AND(L17&gt;0,'[18]EvaluaciónRiesgoCorrup 1'!$F$11&lt;51,F17=5,H17=10),$J$28,IF(AND(L17&gt;0,'[18]EvaluaciónRiesgoCorrup 1'!$F$11&lt;51,F17=5,H17=20),K$28," ")))</f>
        <v xml:space="preserve"> </v>
      </c>
      <c r="AZ17" s="26" t="str">
        <f>IF(AND(M17&gt;0,'[18]EvaluaciónRiesgoCorrup 1'!$F$11&gt;75,F17=1,H17=5),$H$24,IF(AND(M17&gt;0,'[18]EvaluaciónRiesgoCorrup 1'!$F$11&gt;75,F17=1,H17=10),$H$24,IF(AND(M17&gt;0,'[18]EvaluaciónRiesgoCorrup 1'!$F$11&gt;75,F17=1,H17=20),$H$24," ")))</f>
        <v xml:space="preserve"> </v>
      </c>
      <c r="BA17" s="26" t="str">
        <f>IF(AND(M17&gt;0,'[18]EvaluaciónRiesgoCorrup 1'!$F$11&gt;75,F17=2,H17=5),$H$25,IF(AND(M17&gt;0,'[18]EvaluaciónRiesgoCorrup 1'!$F$11&gt;75,F17=2,H17=10),$H$25,IF(AND(M17&gt;0,'[18]EvaluaciónRiesgoCorrup 1'!$F$11&gt;75,F17=2,H17=20),$H$25," ")))</f>
        <v xml:space="preserve"> </v>
      </c>
      <c r="BB17" s="26" t="str">
        <f>IF(AND(M17&gt;0,'[18]EvaluaciónRiesgoCorrup 1'!$F$11&gt;75,F17=3,H17=5),$H$26,IF(AND(M17&gt;0,'[18]EvaluaciónRiesgoCorrup 1'!$F$11&gt;75,F17=3,H17=10),$H$26,IF(AND(M17&gt;0,'[18]EvaluaciónRiesgoCorrup 1'!$F$11&gt;75,F17=3,H17=20),$H$26," ")))</f>
        <v xml:space="preserve"> </v>
      </c>
      <c r="BC17" s="26" t="str">
        <f>IF(AND(M17&gt;0,'[18]EvaluaciónRiesgoCorrup 1'!$F$11&gt;75,F17=4,H17=5),$H$27,IF(AND(M17&gt;0,'[18]EvaluaciónRiesgoCorrup 1'!$F$11&gt;75,F17=4,H17=10),$H$27,IF(AND(M17&gt;0,'[18]EvaluaciónRiesgoCorrup 1'!$F$11&gt;75,F17=4,H17=20),$H$27," ")))</f>
        <v xml:space="preserve"> </v>
      </c>
      <c r="BD17" s="26" t="str">
        <f>IF(AND(M17&gt;0,'[18]EvaluaciónRiesgoCorrup 1'!$F$11&gt;75,F17=5,H17=5),$H$28,IF(AND(M17&gt;0,'[18]EvaluaciónRiesgoCorrup 1'!$F$11&gt;75,F17=5,H17=10),$H$28,IF(AND(M17&gt;0,'[18]EvaluaciónRiesgoCorrup 1'!$F$11&gt;75,F17=5,H17=20),$H$28," ")))</f>
        <v xml:space="preserve"> </v>
      </c>
      <c r="BG17" s="26" t="str">
        <f>IF(AND(M17&gt;0,'[18]EvaluaciónRiesgoCorrup 1'!$F$11&gt;50,'[18]EvaluaciónRiesgoCorrup 1'!$F$11&lt;76,F17=1,H17=5),$H$24,IF(AND(M17&gt;0,'[18]EvaluaciónRiesgoCorrup 1'!$F$11&gt;50,'[18]EvaluaciónRiesgoCorrup 1'!$F$11&lt;76,F17=1,H17=10),$H$24,IF(AND(M17&gt;0,'[18]EvaluaciónRiesgoCorrup 1'!$F$11&gt;50,'[18]EvaluaciónRiesgoCorrup 1'!$F$11&lt;76,F17=1,H17=20),$J$24," ")))</f>
        <v xml:space="preserve"> </v>
      </c>
      <c r="BH17" s="26" t="str">
        <f>IF(AND(M17&gt;0,'[18]EvaluaciónRiesgoCorrup 1'!$F$11&gt;50,'[18]EvaluaciónRiesgoCorrup 1'!$F$11&lt;76,F17=2,H17=5),$H$25,IF(AND(M17&gt;0,'[18]EvaluaciónRiesgoCorrup 1'!$F$11&gt;50,'[18]EvaluaciónRiesgoCorrup 1'!$F$11&lt;76,F17=2,H17=10),$H$25,IF(AND(M17&gt;0,'[18]EvaluaciónRiesgoCorrup 1'!$F$11&gt;50,'[18]EvaluaciónRiesgoCorrup 1'!$F$11&lt;76,F17=2,H17=20),$J$25," ")))</f>
        <v xml:space="preserve"> </v>
      </c>
      <c r="BI17" s="26" t="str">
        <f>IF(AND(M17&gt;0,'[18]EvaluaciónRiesgoCorrup 1'!$F$11&gt;50,'[18]EvaluaciónRiesgoCorrup 1'!$F$11&lt;76,F17=3,H17=5),$H$26,IF(AND(M17&gt;0,'[18]EvaluaciónRiesgoCorrup 1'!$F$11&gt;50,'[18]EvaluaciónRiesgoCorrup 1'!$F$11&lt;76,F17=3,H17=10),$H$26,IF(AND(M17&gt;0,'[18]EvaluaciónRiesgoCorrup 1'!$F$11&gt;50,'[18]EvaluaciónRiesgoCorrup 1'!$F$11&lt;76,F17=3,H17=20),$J$26," ")))</f>
        <v xml:space="preserve"> </v>
      </c>
      <c r="BJ17" s="26" t="str">
        <f>IF(AND(M17&gt;0,'[18]EvaluaciónRiesgoCorrup 1'!$F$11&gt;50,'[18]EvaluaciónRiesgoCorrup 1'!$F$11&lt;76,F17=4,H17=5),$H$27,IF(AND(M17&gt;0,'[18]EvaluaciónRiesgoCorrup 1'!$F$11&gt;50,'[18]EvaluaciónRiesgoCorrup 1'!$F$11&lt;76,F17=4,H17=10),$H$27,IF(AND(M17&gt;0,'[18]EvaluaciónRiesgoCorrup 1'!$F$11&gt;50,'[18]EvaluaciónRiesgoCorrup 1'!$F$11&lt;76,F17=4,H17=20),$J$27," ")))</f>
        <v xml:space="preserve"> </v>
      </c>
      <c r="BK17" s="26" t="str">
        <f>IF(AND(M17&gt;0,'[18]EvaluaciónRiesgoCorrup 1'!$F$11&gt;50,'[18]EvaluaciónRiesgoCorrup 1'!$F$11&lt;76,F17=5,H17=5),$H$28,IF(AND(M17&gt;0,'[18]EvaluaciónRiesgoCorrup 1'!$F$11&gt;50,'[18]EvaluaciónRiesgoCorrup 1'!$F$11&lt;76,F17=5,H17=10),$H$28,IF(AND(M17&gt;0,'[18]EvaluaciónRiesgoCorrup 1'!$F$11&gt;50,'[18]EvaluaciónRiesgoCorrup 1'!$F$11&lt;76,F17=5,H17=20),$J$28," ")))</f>
        <v xml:space="preserve"> </v>
      </c>
      <c r="BN17" s="26" t="str">
        <f>IF(AND(M17&gt;0,'[18]EvaluaciónRiesgoCorrup 1'!$F$11&lt;51,F17=1,H17=5),$H$24,IF(AND(M17&gt;0,'[18]EvaluaciónRiesgoCorrup 1'!$F$11&lt;51,F17=1,H17=10),$J$24,IF(AND(M17&gt;0,'[18]EvaluaciónRiesgoCorrup 1'!$F$11&lt;51,F17=1,H17=20),$K$24," ")))</f>
        <v xml:space="preserve"> </v>
      </c>
      <c r="BO17" s="26" t="str">
        <f>IF(AND(M17&gt;0,'[18]EvaluaciónRiesgoCorrup 1'!$F$11&lt;51,F17=2,H17=5),$H$25,IF(AND(M17&gt;0,'[18]EvaluaciónRiesgoCorrup 1'!$F$11&lt;51,F17=2,H17=10),$J$25,IF(AND(M17&gt;0,'[18]EvaluaciónRiesgoCorrup 1'!$F$11&lt;51,F17=2,H17=20),$K$25," ")))</f>
        <v xml:space="preserve"> </v>
      </c>
      <c r="BP17" s="26" t="str">
        <f>IF(AND(M17&gt;0,'[18]EvaluaciónRiesgoCorrup 1'!$F$11&lt;51,F17=3,H17=5),$H$26,IF(AND(M17&gt;0,'[18]EvaluaciónRiesgoCorrup 1'!$F$11&lt;51,F17=3,H17=10),$J$26,IF(AND(M17&gt;0,'[18]EvaluaciónRiesgoCorrup 1'!$F$11&lt;51,F17=3,H17=20),$K$26," ")))</f>
        <v xml:space="preserve"> </v>
      </c>
      <c r="BQ17" s="26" t="str">
        <f>IF(AND(M17&gt;0,'[18]EvaluaciónRiesgoCorrup 1'!$F$11&lt;51,F17=4,H17=5),$H$27,IF(AND(M17&gt;0,'[18]EvaluaciónRiesgoCorrup 1'!$F$11&lt;51,F17=4,H17=10),$J$27,IF(AND(M17&gt;0,'[18]EvaluaciónRiesgoCorrup 1'!$F$11&lt;51,F17=4,H17=20),$K$27," ")))</f>
        <v xml:space="preserve"> </v>
      </c>
      <c r="BR17" s="26" t="str">
        <f>IF(AND(M17&gt;0,'[18]EvaluaciónRiesgoCorrup 1'!$F$11&lt;51,F17=5,H17=5),$H$28,IF(AND(M17&gt;0,'[18]EvaluaciónRiesgoCorrup 1'!$F$11&lt;51,F17=5,H17=10),$J$28,IF(AND(M17&gt;0,'[18]EvaluaciónRiesgoCorrup 1'!$F$11&lt;51,F17=5,H17=20),$K$28," ")))</f>
        <v xml:space="preserve"> </v>
      </c>
    </row>
    <row r="18" spans="1:70" ht="156.75" customHeight="1" x14ac:dyDescent="0.25">
      <c r="A18" s="384" t="s">
        <v>114</v>
      </c>
      <c r="B18" s="384" t="s">
        <v>115</v>
      </c>
      <c r="C18" s="384" t="s">
        <v>116</v>
      </c>
      <c r="D18" s="384" t="s">
        <v>117</v>
      </c>
      <c r="E18" s="384" t="s">
        <v>89</v>
      </c>
      <c r="F18" s="385">
        <v>1</v>
      </c>
      <c r="G18" s="385" t="s">
        <v>91</v>
      </c>
      <c r="H18" s="386">
        <v>20</v>
      </c>
      <c r="I18" s="386" t="s">
        <v>92</v>
      </c>
      <c r="J18" s="387" t="s">
        <v>41</v>
      </c>
      <c r="K18" s="392" t="s">
        <v>118</v>
      </c>
      <c r="L18" s="469" t="s">
        <v>10</v>
      </c>
      <c r="M18" s="470"/>
      <c r="N18" s="387" t="s">
        <v>40</v>
      </c>
      <c r="O18" s="388" t="s">
        <v>97</v>
      </c>
      <c r="P18" s="389" t="s">
        <v>119</v>
      </c>
      <c r="Q18" s="391" t="s">
        <v>120</v>
      </c>
      <c r="R18" s="389" t="s">
        <v>121</v>
      </c>
      <c r="S18" s="390"/>
      <c r="T18" s="411"/>
      <c r="U18" s="412" t="s">
        <v>265</v>
      </c>
      <c r="V18" s="391"/>
    </row>
    <row r="19" spans="1:70" ht="160.5" customHeight="1" x14ac:dyDescent="0.25">
      <c r="A19" s="400" t="s">
        <v>225</v>
      </c>
      <c r="B19" s="400" t="s">
        <v>122</v>
      </c>
      <c r="C19" s="400" t="s">
        <v>123</v>
      </c>
      <c r="D19" s="400" t="s">
        <v>124</v>
      </c>
      <c r="E19" s="393" t="s">
        <v>89</v>
      </c>
      <c r="F19" s="394">
        <v>1</v>
      </c>
      <c r="G19" s="394" t="s">
        <v>91</v>
      </c>
      <c r="H19" s="395">
        <v>20</v>
      </c>
      <c r="I19" s="401" t="s">
        <v>92</v>
      </c>
      <c r="J19" s="402" t="s">
        <v>41</v>
      </c>
      <c r="K19" s="399" t="s">
        <v>125</v>
      </c>
      <c r="L19" s="469" t="s">
        <v>10</v>
      </c>
      <c r="M19" s="470"/>
      <c r="N19" s="396" t="s">
        <v>40</v>
      </c>
      <c r="O19" s="397" t="s">
        <v>97</v>
      </c>
      <c r="P19" s="399" t="s">
        <v>119</v>
      </c>
      <c r="Q19" s="399" t="s">
        <v>126</v>
      </c>
      <c r="R19" s="399" t="s">
        <v>127</v>
      </c>
      <c r="S19" s="398"/>
      <c r="T19" s="411"/>
      <c r="U19" s="412" t="s">
        <v>265</v>
      </c>
      <c r="V19" s="403"/>
    </row>
    <row r="20" spans="1:70" ht="253.5" customHeight="1" x14ac:dyDescent="0.25">
      <c r="A20" s="404" t="s">
        <v>225</v>
      </c>
      <c r="B20" s="404" t="s">
        <v>226</v>
      </c>
      <c r="C20" s="404" t="s">
        <v>227</v>
      </c>
      <c r="D20" s="404" t="s">
        <v>228</v>
      </c>
      <c r="E20" s="404" t="s">
        <v>89</v>
      </c>
      <c r="F20" s="405">
        <v>1</v>
      </c>
      <c r="G20" s="405" t="s">
        <v>91</v>
      </c>
      <c r="H20" s="406">
        <v>20</v>
      </c>
      <c r="I20" s="406" t="s">
        <v>92</v>
      </c>
      <c r="J20" s="407" t="s">
        <v>41</v>
      </c>
      <c r="K20" s="413" t="s">
        <v>128</v>
      </c>
      <c r="L20" s="469" t="s">
        <v>10</v>
      </c>
      <c r="M20" s="470"/>
      <c r="N20" s="407" t="s">
        <v>41</v>
      </c>
      <c r="O20" s="408" t="s">
        <v>97</v>
      </c>
      <c r="P20" s="409" t="s">
        <v>119</v>
      </c>
      <c r="Q20" s="409" t="s">
        <v>129</v>
      </c>
      <c r="R20" s="409" t="s">
        <v>130</v>
      </c>
      <c r="S20" s="410"/>
      <c r="T20" s="411"/>
      <c r="U20" s="412" t="s">
        <v>266</v>
      </c>
      <c r="V20" s="414"/>
    </row>
    <row r="21" spans="1:70" s="115" customFormat="1" ht="253.5" customHeight="1" x14ac:dyDescent="0.25">
      <c r="A21" s="168"/>
      <c r="B21" s="168"/>
      <c r="C21" s="168"/>
      <c r="D21" s="168"/>
      <c r="E21" s="168"/>
      <c r="F21" s="169"/>
      <c r="G21" s="169"/>
      <c r="H21" s="170"/>
      <c r="I21" s="170"/>
      <c r="J21" s="178"/>
      <c r="K21" s="171"/>
      <c r="L21" s="172"/>
      <c r="M21" s="172"/>
      <c r="N21" s="170"/>
      <c r="O21" s="173"/>
      <c r="P21" s="174"/>
      <c r="Q21" s="174"/>
      <c r="R21" s="174"/>
      <c r="S21" s="175"/>
      <c r="T21" s="176"/>
      <c r="U21" s="174"/>
      <c r="V21" s="177"/>
    </row>
    <row r="22" spans="1:70" ht="191.25" customHeight="1" thickBot="1" x14ac:dyDescent="0.3">
      <c r="A22" s="6" t="s">
        <v>164</v>
      </c>
      <c r="B22" s="31"/>
      <c r="C22" s="139"/>
      <c r="D22" s="31"/>
      <c r="E22" s="139"/>
      <c r="F22" s="524" t="s">
        <v>26</v>
      </c>
      <c r="G22" s="77"/>
      <c r="H22" s="525" t="s">
        <v>10</v>
      </c>
      <c r="I22" s="525"/>
      <c r="J22" s="525"/>
      <c r="K22" s="532"/>
      <c r="L22" s="2"/>
      <c r="Q22" s="5"/>
      <c r="S22" s="2"/>
    </row>
    <row r="23" spans="1:70" ht="32.25" customHeight="1" thickBot="1" x14ac:dyDescent="0.3">
      <c r="A23" s="5"/>
      <c r="B23" s="32" t="s">
        <v>34</v>
      </c>
      <c r="C23" s="127"/>
      <c r="D23" s="32"/>
      <c r="E23" s="127"/>
      <c r="F23" s="463"/>
      <c r="G23" s="145"/>
      <c r="H23" s="33" t="s">
        <v>35</v>
      </c>
      <c r="I23" s="128"/>
      <c r="J23" s="34" t="s">
        <v>36</v>
      </c>
      <c r="K23" s="33" t="s">
        <v>37</v>
      </c>
      <c r="L23" s="2"/>
      <c r="Q23" s="5"/>
      <c r="S23" s="2"/>
    </row>
    <row r="24" spans="1:70" ht="15.75" thickBot="1" x14ac:dyDescent="0.3">
      <c r="B24" s="5" t="s">
        <v>38</v>
      </c>
      <c r="C24" s="118"/>
      <c r="F24" s="35" t="s">
        <v>39</v>
      </c>
      <c r="G24" s="129"/>
      <c r="H24" s="36" t="s">
        <v>40</v>
      </c>
      <c r="I24" s="130"/>
      <c r="J24" s="36" t="s">
        <v>40</v>
      </c>
      <c r="K24" s="37" t="s">
        <v>41</v>
      </c>
      <c r="L24" s="2"/>
      <c r="Q24" s="5"/>
      <c r="S24" s="2"/>
    </row>
    <row r="25" spans="1:70" ht="15.75" thickBot="1" x14ac:dyDescent="0.3">
      <c r="F25" s="35" t="s">
        <v>42</v>
      </c>
      <c r="G25" s="129"/>
      <c r="H25" s="36" t="s">
        <v>40</v>
      </c>
      <c r="I25" s="130"/>
      <c r="J25" s="37" t="s">
        <v>41</v>
      </c>
      <c r="K25" s="38" t="s">
        <v>43</v>
      </c>
      <c r="L25" s="2"/>
      <c r="Q25" s="5"/>
      <c r="S25" s="2"/>
    </row>
    <row r="26" spans="1:70" ht="15.75" thickBot="1" x14ac:dyDescent="0.3">
      <c r="F26" s="35" t="s">
        <v>44</v>
      </c>
      <c r="G26" s="129"/>
      <c r="H26" s="37" t="s">
        <v>41</v>
      </c>
      <c r="I26" s="131"/>
      <c r="J26" s="38" t="s">
        <v>43</v>
      </c>
      <c r="K26" s="39" t="s">
        <v>45</v>
      </c>
      <c r="L26" s="2"/>
      <c r="Q26" s="5"/>
      <c r="S26" s="2"/>
    </row>
    <row r="27" spans="1:70" ht="15.75" thickBot="1" x14ac:dyDescent="0.3">
      <c r="F27" s="35" t="s">
        <v>46</v>
      </c>
      <c r="G27" s="129"/>
      <c r="H27" s="37" t="s">
        <v>41</v>
      </c>
      <c r="I27" s="131"/>
      <c r="J27" s="38" t="s">
        <v>43</v>
      </c>
      <c r="K27" s="39" t="s">
        <v>45</v>
      </c>
      <c r="L27" s="2"/>
      <c r="Q27" s="5"/>
      <c r="S27" s="2"/>
    </row>
    <row r="28" spans="1:70" ht="15.75" thickBot="1" x14ac:dyDescent="0.3">
      <c r="F28" s="35" t="s">
        <v>47</v>
      </c>
      <c r="G28" s="129"/>
      <c r="H28" s="37" t="s">
        <v>41</v>
      </c>
      <c r="I28" s="131"/>
      <c r="J28" s="38" t="s">
        <v>43</v>
      </c>
      <c r="K28" s="39" t="s">
        <v>45</v>
      </c>
      <c r="L28" s="2"/>
      <c r="Q28" s="5"/>
      <c r="S28" s="2"/>
    </row>
    <row r="29" spans="1:70" x14ac:dyDescent="0.25">
      <c r="F29" s="2"/>
      <c r="G29" s="115"/>
      <c r="H29" s="2"/>
      <c r="I29" s="115"/>
      <c r="J29" s="2"/>
      <c r="K29" s="5"/>
      <c r="M29" s="5"/>
    </row>
    <row r="30" spans="1:70" ht="15" x14ac:dyDescent="0.25">
      <c r="F30" s="40" t="s">
        <v>48</v>
      </c>
      <c r="G30" s="132"/>
      <c r="H30" s="2"/>
      <c r="I30" s="115"/>
      <c r="J30" s="2"/>
      <c r="K30" s="5"/>
      <c r="M30" s="5"/>
      <c r="N30" s="5"/>
      <c r="O30" s="118"/>
      <c r="P30" s="5"/>
    </row>
    <row r="31" spans="1:70" ht="15" x14ac:dyDescent="0.25">
      <c r="F31" s="41" t="s">
        <v>49</v>
      </c>
      <c r="G31" s="133"/>
      <c r="H31" s="2"/>
      <c r="I31" s="115"/>
      <c r="J31" s="2"/>
      <c r="K31" s="5"/>
      <c r="M31" s="5"/>
      <c r="N31" s="5"/>
      <c r="O31" s="118"/>
      <c r="P31" s="5"/>
    </row>
    <row r="32" spans="1:70" ht="15" x14ac:dyDescent="0.25">
      <c r="F32" s="42" t="s">
        <v>50</v>
      </c>
      <c r="G32" s="134"/>
      <c r="H32" s="2"/>
      <c r="I32" s="115"/>
      <c r="J32" s="2"/>
      <c r="K32" s="5"/>
      <c r="M32" s="5"/>
      <c r="N32" s="5"/>
      <c r="O32" s="118"/>
      <c r="P32" s="5"/>
    </row>
    <row r="33" spans="6:16" ht="15" x14ac:dyDescent="0.25">
      <c r="F33" s="43" t="s">
        <v>51</v>
      </c>
      <c r="G33" s="135"/>
      <c r="H33" s="2"/>
      <c r="I33" s="115"/>
      <c r="J33" s="2"/>
      <c r="K33" s="5"/>
      <c r="M33" s="5"/>
      <c r="N33" s="5"/>
      <c r="O33" s="118"/>
      <c r="P33" s="5"/>
    </row>
  </sheetData>
  <mergeCells count="38">
    <mergeCell ref="F22:F23"/>
    <mergeCell ref="H22:K22"/>
    <mergeCell ref="P15:R15"/>
    <mergeCell ref="L17:M17"/>
    <mergeCell ref="L18:M18"/>
    <mergeCell ref="L19:M19"/>
    <mergeCell ref="L20:M20"/>
    <mergeCell ref="AG13:AY13"/>
    <mergeCell ref="BA13:BT13"/>
    <mergeCell ref="A14:D14"/>
    <mergeCell ref="F14:H14"/>
    <mergeCell ref="K14:K16"/>
    <mergeCell ref="L14:N14"/>
    <mergeCell ref="P14:R14"/>
    <mergeCell ref="S14:V14"/>
    <mergeCell ref="A15:A16"/>
    <mergeCell ref="B15:B16"/>
    <mergeCell ref="D15:D16"/>
    <mergeCell ref="F15:H15"/>
    <mergeCell ref="L15:N15"/>
    <mergeCell ref="S15:S16"/>
    <mergeCell ref="T15:T16"/>
    <mergeCell ref="U15:U16"/>
    <mergeCell ref="U1:V1"/>
    <mergeCell ref="U4:V4"/>
    <mergeCell ref="U2:W2"/>
    <mergeCell ref="U3:W3"/>
    <mergeCell ref="A6:D6"/>
    <mergeCell ref="F6:V6"/>
    <mergeCell ref="A1:D4"/>
    <mergeCell ref="F1:T4"/>
    <mergeCell ref="V15:V16"/>
    <mergeCell ref="A8:D8"/>
    <mergeCell ref="F8:V8"/>
    <mergeCell ref="A10:D10"/>
    <mergeCell ref="F10:V10"/>
    <mergeCell ref="A12:D12"/>
    <mergeCell ref="F12:V12"/>
  </mergeCells>
  <conditionalFormatting sqref="N21">
    <cfRule type="containsText" dxfId="43" priority="25" operator="containsText" text="E">
      <formula>NOT(ISERROR(SEARCH("E",N21)))</formula>
    </cfRule>
    <cfRule type="containsText" dxfId="42" priority="26" operator="containsText" text="M">
      <formula>NOT(ISERROR(SEARCH("M",N21)))</formula>
    </cfRule>
    <cfRule type="containsText" dxfId="41" priority="27" operator="containsText" text="A">
      <formula>NOT(ISERROR(SEARCH("A",N21)))</formula>
    </cfRule>
    <cfRule type="containsText" dxfId="40" priority="28" operator="containsText" text="B">
      <formula>NOT(ISERROR(SEARCH("B",N21)))</formula>
    </cfRule>
  </conditionalFormatting>
  <conditionalFormatting sqref="N19">
    <cfRule type="containsText" dxfId="39" priority="29" operator="containsText" text="E">
      <formula>NOT(ISERROR(SEARCH("E",N19)))</formula>
    </cfRule>
    <cfRule type="containsText" dxfId="38" priority="30" operator="containsText" text="M">
      <formula>NOT(ISERROR(SEARCH("M",N19)))</formula>
    </cfRule>
    <cfRule type="containsText" dxfId="37" priority="31" operator="containsText" text="A">
      <formula>NOT(ISERROR(SEARCH("A",N19)))</formula>
    </cfRule>
    <cfRule type="containsText" dxfId="36" priority="32" operator="containsText" text="B">
      <formula>NOT(ISERROR(SEARCH("B",N19)))</formula>
    </cfRule>
  </conditionalFormatting>
  <conditionalFormatting sqref="N17">
    <cfRule type="containsText" dxfId="35" priority="1" operator="containsText" text="E">
      <formula>NOT(ISERROR(SEARCH("E",N17)))</formula>
    </cfRule>
    <cfRule type="containsText" dxfId="34" priority="2" operator="containsText" text="M">
      <formula>NOT(ISERROR(SEARCH("M",N17)))</formula>
    </cfRule>
    <cfRule type="containsText" dxfId="33" priority="3" operator="containsText" text="A">
      <formula>NOT(ISERROR(SEARCH("A",N17)))</formula>
    </cfRule>
    <cfRule type="containsText" dxfId="32" priority="4" operator="containsText" text="B">
      <formula>NOT(ISERROR(SEARCH("B",N17)))</formula>
    </cfRule>
  </conditionalFormatting>
  <dataValidations disablePrompts="1" count="1">
    <dataValidation type="list" allowBlank="1" showInputMessage="1" showErrorMessage="1" promptTitle="AFECTA A:" prompt="Seleccione según a quien afecte el control" sqref="L18 L20:L21">
      <formula1>$XFD$2:$XFD$3</formula1>
    </dataValidation>
  </dataValidations>
  <pageMargins left="0.7" right="0.7" top="0.75" bottom="0.75" header="0.3" footer="0.3"/>
  <pageSetup scale="16"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3"/>
  <sheetViews>
    <sheetView showGridLines="0" view="pageBreakPreview" topLeftCell="E8" zoomScaleNormal="60" zoomScaleSheetLayoutView="100" workbookViewId="0">
      <selection activeCell="F12" sqref="F12:W12"/>
    </sheetView>
  </sheetViews>
  <sheetFormatPr baseColWidth="10" defaultColWidth="11.42578125" defaultRowHeight="14.25" x14ac:dyDescent="0.25"/>
  <cols>
    <col min="1" max="1" width="41.28515625" style="2" customWidth="1"/>
    <col min="2" max="5" width="40.42578125" style="2" customWidth="1"/>
    <col min="6" max="7" width="27" style="5" customWidth="1"/>
    <col min="8" max="9" width="19" style="5" customWidth="1"/>
    <col min="10" max="10" width="26.7109375" style="5" customWidth="1"/>
    <col min="11" max="11" width="29.7109375" style="2" customWidth="1"/>
    <col min="12" max="12" width="21.5703125" style="5" customWidth="1"/>
    <col min="13" max="13" width="21.5703125" style="118" customWidth="1"/>
    <col min="14" max="14" width="18.5703125" style="2" customWidth="1"/>
    <col min="15" max="16" width="21.7109375" style="2" customWidth="1"/>
    <col min="17" max="17" width="19.85546875" style="2" customWidth="1"/>
    <col min="18" max="18" width="35.140625" style="2" customWidth="1"/>
    <col min="19" max="19" width="17" style="2" customWidth="1"/>
    <col min="20" max="20" width="24.28515625" style="5" customWidth="1"/>
    <col min="21" max="21" width="38.42578125" style="2" customWidth="1"/>
    <col min="22" max="22" width="30.42578125" style="2" customWidth="1"/>
    <col min="23" max="23" width="75" style="2" customWidth="1"/>
    <col min="24" max="24" width="30.42578125" style="2" customWidth="1"/>
    <col min="25" max="25" width="36" style="2" hidden="1" customWidth="1"/>
    <col min="26" max="73" width="11.42578125" style="2" hidden="1" customWidth="1"/>
    <col min="74" max="74" width="11.42578125" style="2" customWidth="1"/>
    <col min="75" max="16384" width="11.42578125" style="2"/>
  </cols>
  <sheetData>
    <row r="1" spans="1:73" ht="21" customHeight="1" x14ac:dyDescent="0.25">
      <c r="A1" s="491"/>
      <c r="B1" s="491"/>
      <c r="C1" s="491"/>
      <c r="D1" s="491"/>
      <c r="E1" s="72"/>
      <c r="F1" s="492" t="s">
        <v>0</v>
      </c>
      <c r="G1" s="493"/>
      <c r="H1" s="493"/>
      <c r="I1" s="493"/>
      <c r="J1" s="493"/>
      <c r="K1" s="493"/>
      <c r="L1" s="493"/>
      <c r="M1" s="493"/>
      <c r="N1" s="493"/>
      <c r="O1" s="493"/>
      <c r="P1" s="493"/>
      <c r="Q1" s="493"/>
      <c r="R1" s="493"/>
      <c r="S1" s="493"/>
      <c r="T1" s="493"/>
      <c r="U1" s="494"/>
      <c r="V1" s="501" t="s">
        <v>1</v>
      </c>
      <c r="W1" s="502"/>
      <c r="X1" s="1"/>
      <c r="Y1" s="1"/>
    </row>
    <row r="2" spans="1:73" ht="22.5" customHeight="1" x14ac:dyDescent="0.25">
      <c r="A2" s="491"/>
      <c r="B2" s="491"/>
      <c r="C2" s="491"/>
      <c r="D2" s="491"/>
      <c r="E2" s="73"/>
      <c r="F2" s="495"/>
      <c r="G2" s="496"/>
      <c r="H2" s="496"/>
      <c r="I2" s="496"/>
      <c r="J2" s="496"/>
      <c r="K2" s="496"/>
      <c r="L2" s="496"/>
      <c r="M2" s="496"/>
      <c r="N2" s="496"/>
      <c r="O2" s="496"/>
      <c r="P2" s="496"/>
      <c r="Q2" s="496"/>
      <c r="R2" s="496"/>
      <c r="S2" s="496"/>
      <c r="T2" s="496"/>
      <c r="U2" s="497"/>
      <c r="V2" s="522" t="s">
        <v>162</v>
      </c>
      <c r="W2" s="522"/>
      <c r="X2" s="522"/>
      <c r="Y2" s="1"/>
    </row>
    <row r="3" spans="1:73" ht="21" customHeight="1" x14ac:dyDescent="0.25">
      <c r="A3" s="491"/>
      <c r="B3" s="491"/>
      <c r="C3" s="491"/>
      <c r="D3" s="491"/>
      <c r="E3" s="73"/>
      <c r="F3" s="495"/>
      <c r="G3" s="496"/>
      <c r="H3" s="496"/>
      <c r="I3" s="496"/>
      <c r="J3" s="496"/>
      <c r="K3" s="496"/>
      <c r="L3" s="496"/>
      <c r="M3" s="496"/>
      <c r="N3" s="496"/>
      <c r="O3" s="496"/>
      <c r="P3" s="496"/>
      <c r="Q3" s="496"/>
      <c r="R3" s="496"/>
      <c r="S3" s="496"/>
      <c r="T3" s="496"/>
      <c r="U3" s="497"/>
      <c r="V3" s="522" t="s">
        <v>163</v>
      </c>
      <c r="W3" s="522"/>
      <c r="X3" s="522"/>
      <c r="Y3" s="1"/>
    </row>
    <row r="4" spans="1:73" ht="20.25" customHeight="1" x14ac:dyDescent="0.25">
      <c r="A4" s="491"/>
      <c r="B4" s="491"/>
      <c r="C4" s="491"/>
      <c r="D4" s="491"/>
      <c r="E4" s="74"/>
      <c r="F4" s="498"/>
      <c r="G4" s="499"/>
      <c r="H4" s="499"/>
      <c r="I4" s="499"/>
      <c r="J4" s="499"/>
      <c r="K4" s="499"/>
      <c r="L4" s="499"/>
      <c r="M4" s="499"/>
      <c r="N4" s="499"/>
      <c r="O4" s="499"/>
      <c r="P4" s="499"/>
      <c r="Q4" s="499"/>
      <c r="R4" s="499"/>
      <c r="S4" s="499"/>
      <c r="T4" s="499"/>
      <c r="U4" s="500"/>
      <c r="V4" s="501" t="s">
        <v>2</v>
      </c>
      <c r="W4" s="502"/>
      <c r="X4" s="1"/>
      <c r="Y4" s="1"/>
    </row>
    <row r="5" spans="1:73" ht="8.25" customHeight="1" x14ac:dyDescent="0.25">
      <c r="B5" s="3"/>
      <c r="C5" s="3"/>
      <c r="D5" s="3"/>
      <c r="E5" s="3"/>
      <c r="F5" s="4"/>
      <c r="G5" s="4"/>
      <c r="H5" s="4"/>
      <c r="I5" s="4"/>
      <c r="J5" s="4"/>
      <c r="K5" s="4"/>
      <c r="L5" s="4"/>
      <c r="M5" s="117"/>
      <c r="N5" s="4"/>
      <c r="O5" s="4"/>
      <c r="P5" s="4"/>
      <c r="Q5" s="4"/>
      <c r="R5" s="4"/>
      <c r="X5" s="6"/>
      <c r="Y5" s="6"/>
    </row>
    <row r="6" spans="1:73" ht="15" x14ac:dyDescent="0.25">
      <c r="A6" s="471" t="s">
        <v>3</v>
      </c>
      <c r="B6" s="471"/>
      <c r="C6" s="471"/>
      <c r="D6" s="471"/>
      <c r="E6" s="75"/>
      <c r="F6" s="485" t="str">
        <f>[19]IdentRiesgo!B2</f>
        <v>Gestion del Desarrollo del Talento Humano</v>
      </c>
      <c r="G6" s="486"/>
      <c r="H6" s="486"/>
      <c r="I6" s="486"/>
      <c r="J6" s="486"/>
      <c r="K6" s="486"/>
      <c r="L6" s="486"/>
      <c r="M6" s="486"/>
      <c r="N6" s="486"/>
      <c r="O6" s="486"/>
      <c r="P6" s="486"/>
      <c r="Q6" s="486"/>
      <c r="R6" s="486"/>
      <c r="S6" s="486"/>
      <c r="T6" s="486"/>
      <c r="U6" s="486"/>
      <c r="V6" s="486"/>
      <c r="W6" s="487"/>
      <c r="X6" s="6"/>
      <c r="Y6" s="6"/>
    </row>
    <row r="7" spans="1:73" ht="6.75" customHeight="1" x14ac:dyDescent="0.25">
      <c r="B7" s="3"/>
      <c r="C7" s="3"/>
      <c r="D7" s="3"/>
      <c r="E7" s="3"/>
      <c r="F7" s="7"/>
      <c r="G7" s="7"/>
      <c r="H7" s="7"/>
      <c r="I7" s="7"/>
      <c r="J7" s="7"/>
      <c r="K7" s="7"/>
      <c r="L7" s="7"/>
      <c r="M7" s="121"/>
      <c r="N7" s="7"/>
      <c r="O7" s="7"/>
      <c r="P7" s="7"/>
      <c r="Q7" s="7"/>
      <c r="R7" s="7"/>
      <c r="S7" s="8"/>
      <c r="T7" s="8"/>
      <c r="U7" s="8"/>
      <c r="V7" s="8"/>
      <c r="W7" s="8"/>
      <c r="X7" s="6"/>
      <c r="Y7" s="6"/>
    </row>
    <row r="8" spans="1:73" ht="39.75" customHeight="1" x14ac:dyDescent="0.25">
      <c r="A8" s="471" t="s">
        <v>4</v>
      </c>
      <c r="B8" s="471"/>
      <c r="C8" s="471"/>
      <c r="D8" s="471"/>
      <c r="E8" s="75"/>
      <c r="F8" s="488" t="str">
        <f>[19]IdentRiesgo!B3</f>
        <v xml:space="preserve">Administrar y promover el desarrollo integral del talento humano de la Entidad, a través de la implementación de políticas, planes, programas y acciones que fortalezcan la calidad de vida laboral de los trabajadores y garanticen una mejor prestación de los servicios que ofrece el IDEAM. </v>
      </c>
      <c r="G8" s="489"/>
      <c r="H8" s="489"/>
      <c r="I8" s="489"/>
      <c r="J8" s="489"/>
      <c r="K8" s="489"/>
      <c r="L8" s="489"/>
      <c r="M8" s="489"/>
      <c r="N8" s="489"/>
      <c r="O8" s="489"/>
      <c r="P8" s="489"/>
      <c r="Q8" s="489"/>
      <c r="R8" s="489"/>
      <c r="S8" s="489"/>
      <c r="T8" s="489"/>
      <c r="U8" s="489"/>
      <c r="V8" s="489"/>
      <c r="W8" s="490"/>
      <c r="X8" s="9"/>
      <c r="Y8" s="9"/>
    </row>
    <row r="9" spans="1:73" ht="6.75" customHeight="1" x14ac:dyDescent="0.25">
      <c r="B9" s="10"/>
      <c r="C9" s="10"/>
      <c r="D9" s="10"/>
      <c r="E9" s="10"/>
      <c r="F9" s="11"/>
      <c r="G9" s="11"/>
      <c r="H9" s="11"/>
      <c r="I9" s="11"/>
      <c r="J9" s="11"/>
      <c r="K9" s="11"/>
      <c r="L9" s="11"/>
      <c r="M9" s="122"/>
      <c r="N9" s="11"/>
      <c r="O9" s="11"/>
      <c r="P9" s="11"/>
      <c r="Q9" s="11"/>
      <c r="R9" s="11"/>
      <c r="S9" s="8"/>
      <c r="T9" s="8"/>
      <c r="U9" s="8"/>
      <c r="V9" s="8"/>
      <c r="W9" s="8"/>
      <c r="X9" s="6"/>
      <c r="Y9" s="6"/>
    </row>
    <row r="10" spans="1:73" ht="15" x14ac:dyDescent="0.25">
      <c r="A10" s="471" t="s">
        <v>5</v>
      </c>
      <c r="B10" s="471"/>
      <c r="C10" s="471"/>
      <c r="D10" s="471"/>
      <c r="E10" s="75"/>
      <c r="F10" s="472" t="s">
        <v>58</v>
      </c>
      <c r="G10" s="473"/>
      <c r="H10" s="473"/>
      <c r="I10" s="473"/>
      <c r="J10" s="473"/>
      <c r="K10" s="473"/>
      <c r="L10" s="473"/>
      <c r="M10" s="473"/>
      <c r="N10" s="473"/>
      <c r="O10" s="473"/>
      <c r="P10" s="473"/>
      <c r="Q10" s="473"/>
      <c r="R10" s="473"/>
      <c r="S10" s="473"/>
      <c r="T10" s="473"/>
      <c r="U10" s="473"/>
      <c r="V10" s="473"/>
      <c r="W10" s="474"/>
      <c r="X10" s="12"/>
      <c r="Y10" s="12"/>
    </row>
    <row r="11" spans="1:73" ht="5.25" customHeight="1" x14ac:dyDescent="0.25">
      <c r="B11" s="3"/>
      <c r="C11" s="3"/>
      <c r="D11" s="3"/>
      <c r="E11" s="3"/>
      <c r="F11" s="13"/>
      <c r="G11" s="13"/>
      <c r="H11" s="13"/>
      <c r="I11" s="13"/>
      <c r="J11" s="13"/>
      <c r="K11" s="13"/>
      <c r="L11" s="13"/>
      <c r="M11" s="141"/>
      <c r="N11" s="13"/>
      <c r="O11" s="13"/>
      <c r="P11" s="13"/>
      <c r="Q11" s="13"/>
      <c r="R11" s="13"/>
      <c r="S11" s="8"/>
      <c r="T11" s="8"/>
      <c r="U11" s="8"/>
      <c r="V11" s="8"/>
      <c r="W11" s="8"/>
      <c r="X11" s="6"/>
      <c r="Y11" s="6"/>
    </row>
    <row r="12" spans="1:73" ht="15" x14ac:dyDescent="0.25">
      <c r="A12" s="471" t="s">
        <v>6</v>
      </c>
      <c r="B12" s="471"/>
      <c r="C12" s="471"/>
      <c r="D12" s="471"/>
      <c r="E12" s="75"/>
      <c r="F12" s="472" t="s">
        <v>278</v>
      </c>
      <c r="G12" s="473"/>
      <c r="H12" s="473"/>
      <c r="I12" s="473"/>
      <c r="J12" s="473"/>
      <c r="K12" s="473"/>
      <c r="L12" s="473"/>
      <c r="M12" s="473"/>
      <c r="N12" s="473"/>
      <c r="O12" s="473"/>
      <c r="P12" s="473"/>
      <c r="Q12" s="473"/>
      <c r="R12" s="473"/>
      <c r="S12" s="473"/>
      <c r="T12" s="473"/>
      <c r="U12" s="473"/>
      <c r="V12" s="473"/>
      <c r="W12" s="474"/>
      <c r="X12" s="12"/>
      <c r="Y12" s="12"/>
      <c r="AB12" s="2" t="s">
        <v>7</v>
      </c>
    </row>
    <row r="13" spans="1:73" ht="15.75" thickBot="1" x14ac:dyDescent="0.3">
      <c r="B13" s="3"/>
      <c r="C13" s="3"/>
      <c r="D13" s="3"/>
      <c r="E13" s="3"/>
      <c r="F13" s="14"/>
      <c r="G13" s="14"/>
      <c r="H13" s="15"/>
      <c r="I13" s="15"/>
      <c r="J13" s="15"/>
      <c r="K13" s="7"/>
      <c r="L13" s="15"/>
      <c r="M13" s="120"/>
      <c r="N13" s="7"/>
      <c r="O13" s="7"/>
      <c r="P13" s="7"/>
      <c r="Q13" s="7"/>
      <c r="R13" s="7"/>
      <c r="S13" s="7"/>
      <c r="T13" s="15"/>
      <c r="U13" s="7"/>
      <c r="X13" s="6"/>
      <c r="Y13" s="6"/>
      <c r="AB13" s="2" t="s">
        <v>8</v>
      </c>
      <c r="AH13" s="475" t="s">
        <v>9</v>
      </c>
      <c r="AI13" s="475"/>
      <c r="AJ13" s="475"/>
      <c r="AK13" s="475"/>
      <c r="AL13" s="475"/>
      <c r="AM13" s="475"/>
      <c r="AN13" s="475"/>
      <c r="AO13" s="475"/>
      <c r="AP13" s="475"/>
      <c r="AQ13" s="475"/>
      <c r="AR13" s="475"/>
      <c r="AS13" s="475"/>
      <c r="AT13" s="475"/>
      <c r="AU13" s="475"/>
      <c r="AV13" s="475"/>
      <c r="AW13" s="475"/>
      <c r="AX13" s="475"/>
      <c r="AY13" s="475"/>
      <c r="AZ13" s="475"/>
      <c r="BB13" s="475" t="s">
        <v>10</v>
      </c>
      <c r="BC13" s="475"/>
      <c r="BD13" s="475"/>
      <c r="BE13" s="475"/>
      <c r="BF13" s="475"/>
      <c r="BG13" s="475"/>
      <c r="BH13" s="475"/>
      <c r="BI13" s="475"/>
      <c r="BJ13" s="475"/>
      <c r="BK13" s="475"/>
      <c r="BL13" s="475"/>
      <c r="BM13" s="475"/>
      <c r="BN13" s="475"/>
      <c r="BO13" s="475"/>
      <c r="BP13" s="475"/>
      <c r="BQ13" s="475"/>
      <c r="BR13" s="475"/>
      <c r="BS13" s="475"/>
      <c r="BT13" s="475"/>
      <c r="BU13" s="475"/>
    </row>
    <row r="14" spans="1:73" s="17" customFormat="1" ht="15" customHeight="1" x14ac:dyDescent="0.25">
      <c r="A14" s="476" t="s">
        <v>11</v>
      </c>
      <c r="B14" s="477"/>
      <c r="C14" s="477"/>
      <c r="D14" s="478"/>
      <c r="E14" s="76"/>
      <c r="F14" s="479" t="s">
        <v>12</v>
      </c>
      <c r="G14" s="479"/>
      <c r="H14" s="479"/>
      <c r="I14" s="16"/>
      <c r="J14" s="16"/>
      <c r="K14" s="480" t="s">
        <v>13</v>
      </c>
      <c r="L14" s="476" t="s">
        <v>14</v>
      </c>
      <c r="M14" s="477"/>
      <c r="N14" s="477"/>
      <c r="O14" s="478"/>
      <c r="P14" s="68"/>
      <c r="Q14" s="483" t="s">
        <v>15</v>
      </c>
      <c r="R14" s="483"/>
      <c r="S14" s="483"/>
      <c r="T14" s="483" t="s">
        <v>16</v>
      </c>
      <c r="U14" s="483"/>
      <c r="V14" s="483"/>
      <c r="W14" s="483"/>
    </row>
    <row r="15" spans="1:73" s="17" customFormat="1" ht="14.25" customHeight="1" x14ac:dyDescent="0.25">
      <c r="A15" s="481" t="s">
        <v>17</v>
      </c>
      <c r="B15" s="481" t="s">
        <v>18</v>
      </c>
      <c r="C15" s="69"/>
      <c r="D15" s="481" t="s">
        <v>19</v>
      </c>
      <c r="E15" s="69"/>
      <c r="F15" s="461" t="s">
        <v>20</v>
      </c>
      <c r="G15" s="461"/>
      <c r="H15" s="461"/>
      <c r="I15" s="65"/>
      <c r="J15" s="18"/>
      <c r="K15" s="481"/>
      <c r="L15" s="466" t="s">
        <v>21</v>
      </c>
      <c r="M15" s="467"/>
      <c r="N15" s="467"/>
      <c r="O15" s="468"/>
      <c r="P15" s="67"/>
      <c r="Q15" s="466" t="s">
        <v>22</v>
      </c>
      <c r="R15" s="467"/>
      <c r="S15" s="468"/>
      <c r="T15" s="461" t="s">
        <v>23</v>
      </c>
      <c r="U15" s="461" t="s">
        <v>24</v>
      </c>
      <c r="V15" s="461" t="s">
        <v>5</v>
      </c>
      <c r="W15" s="461" t="s">
        <v>25</v>
      </c>
    </row>
    <row r="16" spans="1:73" s="17" customFormat="1" ht="63" customHeight="1" thickBot="1" x14ac:dyDescent="0.3">
      <c r="A16" s="484"/>
      <c r="B16" s="484"/>
      <c r="C16" s="71" t="s">
        <v>77</v>
      </c>
      <c r="D16" s="484"/>
      <c r="E16" s="71" t="s">
        <v>78</v>
      </c>
      <c r="F16" s="18" t="s">
        <v>26</v>
      </c>
      <c r="G16" s="65" t="s">
        <v>77</v>
      </c>
      <c r="H16" s="18" t="s">
        <v>10</v>
      </c>
      <c r="I16" s="65" t="s">
        <v>77</v>
      </c>
      <c r="J16" s="18" t="s">
        <v>27</v>
      </c>
      <c r="K16" s="482"/>
      <c r="L16" s="18" t="s">
        <v>79</v>
      </c>
      <c r="M16" s="326" t="s">
        <v>26</v>
      </c>
      <c r="N16" s="18" t="s">
        <v>10</v>
      </c>
      <c r="O16" s="20" t="s">
        <v>27</v>
      </c>
      <c r="P16" s="71" t="s">
        <v>81</v>
      </c>
      <c r="Q16" s="18" t="s">
        <v>28</v>
      </c>
      <c r="R16" s="18" t="s">
        <v>24</v>
      </c>
      <c r="S16" s="18" t="s">
        <v>29</v>
      </c>
      <c r="T16" s="461"/>
      <c r="U16" s="461"/>
      <c r="V16" s="461"/>
      <c r="W16" s="461"/>
    </row>
    <row r="17" spans="1:71" ht="409.5" customHeight="1" x14ac:dyDescent="0.25">
      <c r="A17" s="229" t="str">
        <f>IF(ISTEXT([20]IdentificaciónRiesgos!$B6),[20]IdentificaciónRiesgos!$A6,"")</f>
        <v xml:space="preserve">1. Abuso extralimitación de las funciones
2. Incumplimiento del procedimiento
establecido para la selección de personal. 
3. Incumplimiento de los requisitos para la posesión establecidos por la norma.
</v>
      </c>
      <c r="B17" s="230" t="str">
        <f>IF(ISTEXT([20]IdentificaciónRiesgos!$B6),[20]IdentificaciónRiesgos!$B6,"")</f>
        <v xml:space="preserve">Uso del poder para la vinculación de personal que no cumple los requisitos establecidos en el manual especifico de funciones.     </v>
      </c>
      <c r="C17" s="182" t="str">
        <f>IF(ISTEXT([20]IdentificaciónRiesgos!$B6),[20]IdentificaciónRiesgos!$C6,"")</f>
        <v>Realizar posesiones o encargos sin cumplir con los requisitos establecidos en el Manual de Funciones y de Competencias; o sin que se surta el procedimiento establecido por Ley para la provisión de empleos de carrera administrativa y de libre nombramiento.</v>
      </c>
      <c r="D17" s="230" t="str">
        <f>IF(ISTEXT([20]IdentificaciónRiesgos!$B6),[20]IdentificaciónRiesgos!$D6,"")</f>
        <v>1. Investigaciones de los organismos de control.
2. Falta de credibilidad en los procesos de la Entidad.
3.Sanciones disciplinarias, fiscales y/o penales.</v>
      </c>
      <c r="E17" s="230" t="str">
        <f>IF(ISTEXT([20]IdentificaciónRiesgos!$B6),VLOOKUP($C17,[20]DefiniciónRiesgos!$A$4:$F$9,6,FALSE),"")</f>
        <v>RIESGO DE CORRUPCIÓN</v>
      </c>
      <c r="F17" s="355">
        <f>IF(ISTEXT([20]IdentificaciónRiesgos!$B6),IF(EXACT([20]AnálisisRiesgos!$B9,"X"),5,IF(EXACT([20]AnálisisRiesgos!$C9,"X"),4,IF(EXACT([20]AnálisisRiesgos!$D9,"X"),3,IF(EXACT([20]AnálisisRiesgos!$E9,"X"),2,IF(EXACT([20]AnálisisRiesgos!$F9,"X"),1,""))))),"")</f>
        <v>4</v>
      </c>
      <c r="G17" s="355" t="str">
        <f t="shared" ref="G17:G19" si="0">IF(EXACT($F17,5),"Casí Seguro",IF(EXACT($F17,4),"Probable",IF(EXACT($F17,3),"Posible",IF(EXACT($F17,2),"Improbable","Rara Vez"))))</f>
        <v>Probable</v>
      </c>
      <c r="H17" s="355">
        <f>IF(EXACT($B17,""),"",IF(EXACT($E17,"RIESGO DE GESTIÓN"),IF(EXACT([20]AnálisisRiesgos!$G9,"X"),5,IF(EXACT([20]AnálisisRiesgos!$H9,"X"),4,IF(EXACT([20]AnálisisRiesgos!$I9,"X"),3,IF(EXACT([20]AnálisisRiesgos!$J9,"X"),2,1)))),IF(EXACT([20]AnálisisRiesgos!$L9,"X"),20,IF(EXACT([20]AnálisisRiesgos!$M9,"X"),10,5))))</f>
        <v>10</v>
      </c>
      <c r="I17" s="355" t="str">
        <f t="shared" ref="I17:I19" si="1">IF(EXACT($E17,"RIESGO DE GESTIÓN"),IF(EXACT($H17,1),"Insignificante",IF(EXACT($H17,2),"Menor",IF(EXACT($H17,3),"Moderado",IF(EXACT($H17,4),"Mayor","Catastrófico")))),IF(EXACT($H17,5),"Moderado",IF(EXACT($H17,10),"Mayor","Catastrófico")))</f>
        <v>Mayor</v>
      </c>
      <c r="J17" s="228" t="s">
        <v>43</v>
      </c>
      <c r="K17" s="183" t="s">
        <v>166</v>
      </c>
      <c r="L17" s="533"/>
      <c r="M17" s="534"/>
      <c r="N17" s="355" t="s">
        <v>10</v>
      </c>
      <c r="O17" s="345" t="s">
        <v>43</v>
      </c>
      <c r="P17" s="345" t="s">
        <v>85</v>
      </c>
      <c r="Q17" s="231" t="s">
        <v>90</v>
      </c>
      <c r="R17" s="231" t="s">
        <v>222</v>
      </c>
      <c r="S17" s="345" t="s">
        <v>167</v>
      </c>
      <c r="T17" s="232"/>
      <c r="U17" s="431"/>
      <c r="V17" s="441" t="s">
        <v>267</v>
      </c>
      <c r="W17" s="442" t="s">
        <v>268</v>
      </c>
      <c r="X17" s="184"/>
      <c r="Y17" s="184"/>
      <c r="Z17" s="184"/>
      <c r="AA17" s="184"/>
      <c r="AB17" s="184"/>
      <c r="AC17" s="184"/>
      <c r="AD17" s="184"/>
      <c r="AE17" s="184"/>
      <c r="AF17" s="184"/>
      <c r="AG17" s="184"/>
      <c r="AH17" s="26" t="str">
        <f>IF(AND(L17&gt;0,'[19]Evalaucion Riesgo R1'!$F$11&gt;75,F17=3,H17=5),$H$24,IF(AND(L17&gt;0,'[19]Evalaucion Riesgo R1'!$F$11&gt;75,F17=3,H17=10),$J$24,IF(AND(L17&gt;0,'[19]Evalaucion Riesgo R1'!$F$11&gt;75,F17=3,H17=20),$K$24," ")))</f>
        <v xml:space="preserve"> </v>
      </c>
      <c r="AI17" s="26" t="str">
        <f>IF(AND(L17&gt;0,'[19]Evalaucion Riesgo R1'!$F$11&gt;75,F17=4,H17=5),$H$25,IF(AND(L17&gt;0,'[19]Evalaucion Riesgo R1'!$F$11&gt;75,F17=4,H17=10),$J$25,IF(AND(L17&gt;0,'[19]Evalaucion Riesgo R1'!$F$11&gt;75,F17=4,H17=20),$K$25," ")))</f>
        <v xml:space="preserve"> </v>
      </c>
      <c r="AJ17" s="26" t="str">
        <f>IF(AND(L17&gt;0,'[19]Evalaucion Riesgo R1'!$F$11&gt;75,F17=5,H17=5),$H$26,IF(AND(L17&gt;0,'[19]Evalaucion Riesgo R1'!$F$11&gt;75,F17=5,H17=10),$J$26,IF(AND(L17&gt;0,'[19]Evalaucion Riesgo R1'!$F$11&gt;75,F17=5,H17=20),$K$26," ")))</f>
        <v xml:space="preserve"> </v>
      </c>
      <c r="AK17" s="27" t="s">
        <v>32</v>
      </c>
      <c r="AL17" s="26" t="str">
        <f>IF(AND(L17&gt;0,'[19]Evalaucion Riesgo R1'!$F$11&gt;50,'[19]Evalaucion Riesgo R1'!$F$11&lt;76,F17=1,H17=5),$H$24,IF(AND(L17&gt;0,'[19]Evalaucion Riesgo R1'!$F$11&gt;50,'[19]Evalaucion Riesgo R1'!$F$11&lt;76,F17=1,H17=10),$J$24,IF(AND(L17&gt;0,'[19]Evalaucion Riesgo R1'!$F$11&gt;50,'[19]Evalaucion Riesgo R1'!$F$11&lt;76,F17=1,H17=20),$K$24," ")))</f>
        <v xml:space="preserve"> </v>
      </c>
      <c r="AM17" s="26" t="str">
        <f>IF(AND(L17&gt;0,'[19]Evalaucion Riesgo R1'!$F$11&gt;50,'[19]Evalaucion Riesgo R1'!$F$11&lt;76,F17=2,H17=5),$H$24,IF(AND(L17&gt;0,'[19]Evalaucion Riesgo R1'!$F$11&gt;50,'[19]Evalaucion Riesgo R1'!$F$11&lt;76,F17=2,H17=10),$J$24,IF(AND(L17&gt;0,'[19]Evalaucion Riesgo R1'!$F$11&gt;50,'[19]Evalaucion Riesgo R1'!$F$11&lt;76,F17=2,H17=20),$K$24," ")))</f>
        <v xml:space="preserve"> </v>
      </c>
      <c r="AN17" s="26" t="str">
        <f>IF(AND(L17&gt;0,'[19]Evalaucion Riesgo R1'!$F$11&gt;50,'[19]Evalaucion Riesgo R1'!$F$11&lt;76,F17=3,H17=5),$H$25,IF(AND(L17&gt;0,'[19]Evalaucion Riesgo R1'!$F$11&gt;50,'[19]Evalaucion Riesgo R1'!$F$11&lt;76,F17=3,H17=10),$J$25,IF(AND(L17&gt;0,'[19]Evalaucion Riesgo R1'!$F$11&gt;50,'[19]Evalaucion Riesgo R1'!$F$11&lt;76,F17=3,H17=20),$K$25," ")))</f>
        <v xml:space="preserve"> </v>
      </c>
      <c r="AO17" s="26" t="str">
        <f>IF(AND(L17&gt;0,'[19]Evalaucion Riesgo R1'!$F$11&gt;50,'[19]Evalaucion Riesgo R1'!$F$11&lt;76,F17=4,H17=5),$H$26,IF(AND(L17&gt;0,'[19]Evalaucion Riesgo R1'!$F$11&gt;50,'[19]Evalaucion Riesgo R1'!$F$11&lt;76,F17=4,H17=10),$J$26,IF(AND(L17&gt;0,'[19]Evalaucion Riesgo R1'!$F$11&gt;50,'[19]Evalaucion Riesgo R1'!$F$11&lt;76,F17=4,H17=20),$K$26," ")))</f>
        <v xml:space="preserve"> </v>
      </c>
      <c r="AP17" s="26" t="str">
        <f>IF(AND(L17&gt;0,'[19]Evalaucion Riesgo R1'!$F$11&gt;50,'[19]Evalaucion Riesgo R1'!$F$11&lt;76,F17=5,H17=5),$H$27,IF(AND(L17&gt;0,'[19]Evalaucion Riesgo R1'!$F$11&gt;50,'[19]Evalaucion Riesgo R1'!$F$11&lt;76,F17=5,H17=10),$J$27,IF(AND(L17&gt;0,'[19]Evalaucion Riesgo R1'!$F$11&gt;50,'[19]Evalaucion Riesgo R1'!$F$11&lt;76,F17=5,H17=20),$K$27," ")))</f>
        <v xml:space="preserve"> </v>
      </c>
      <c r="AR17" s="27" t="s">
        <v>33</v>
      </c>
      <c r="AS17" s="26" t="str">
        <f>IF(AND(L17&gt;0,'[19]Evalaucion Riesgo R1'!$F$11&lt;51,F17=1,H17=5),$H$24,IF(AND(L17&gt;0,'[19]Evalaucion Riesgo R1'!$F$11&lt;51,F17=1,H17=10),$J$24,IF(AND(L17&gt;0,'[19]Evalaucion Riesgo R1'!$F$11&lt;51,F17=1,H17=20),K$24," ")))</f>
        <v xml:space="preserve"> </v>
      </c>
      <c r="AT17" s="26" t="str">
        <f>IF(AND(L17&gt;0,'[19]Evalaucion Riesgo R1'!$F$11&lt;51,F17=2,H17=5),$H$25,IF(AND(L17&gt;0,'[19]Evalaucion Riesgo R1'!$F$11&lt;51,F17=2,H17=10),$J$25,IF(AND(L17&gt;0,'[19]Evalaucion Riesgo R1'!$F$11&lt;51,F17=2,H17=20),K$25," ")))</f>
        <v xml:space="preserve"> </v>
      </c>
      <c r="AU17" s="26" t="str">
        <f>IF(AND(L17&gt;0,'[19]Evalaucion Riesgo R1'!$F$11&lt;51,F17=3,H17=5),$H$26,IF(AND(L17&gt;0,'[19]Evalaucion Riesgo R1'!$F$11&lt;51,F17=3,H17=10),$J$26,IF(AND(L17&gt;0,'[19]Evalaucion Riesgo R1'!$F$11&lt;51,F17=3,H17=20),K$26," ")))</f>
        <v xml:space="preserve"> </v>
      </c>
      <c r="AV17" s="26" t="str">
        <f>IF(AND(L17&gt;0,'[19]Evalaucion Riesgo R1'!$F$11&lt;51,F17=4,H17=5),$H$27,IF(AND(L17&gt;0,'[19]Evalaucion Riesgo R1'!$F$11&lt;51,F17=4,H17=10),$J$27,IF(AND(L17&gt;0,'[19]Evalaucion Riesgo R1'!$F$11&lt;51,F17=4,H17=20),K$27," ")))</f>
        <v xml:space="preserve"> </v>
      </c>
      <c r="AW17" s="26" t="str">
        <f>IF(AND(L17&gt;0,'[19]Evalaucion Riesgo R1'!$F$11&lt;51,F17=5,H17=5),$H$28,IF(AND(L17&gt;0,'[19]Evalaucion Riesgo R1'!$F$11&lt;51,F17=5,H17=10),$J$28,IF(AND(L17&gt;0,'[19]Evalaucion Riesgo R1'!$F$11&lt;51,F17=5,H17=20),K$28," ")))</f>
        <v xml:space="preserve"> </v>
      </c>
      <c r="AZ17" s="27" t="s">
        <v>31</v>
      </c>
      <c r="BA17" s="26" t="str">
        <f>IF(AND(N17&gt;0,'[19]Evalaucion Riesgo R1'!$F$11&gt;75,F17=1,H17=5),$H$24,IF(AND(N17&gt;0,'[19]Evalaucion Riesgo R1'!$F$11&gt;75,F17=1,H17=10),$H$24,IF(AND(N17&gt;0,'[19]Evalaucion Riesgo R1'!$F$11&gt;75,F17=1,H17=20),$H$24," ")))</f>
        <v xml:space="preserve"> </v>
      </c>
      <c r="BB17" s="26" t="str">
        <f>IF(AND(N17&gt;0,'[19]Evalaucion Riesgo R1'!$F$11&gt;75,F17=2,H17=5),$H$25,IF(AND(N17&gt;0,'[19]Evalaucion Riesgo R1'!$F$11&gt;75,F17=2,H17=10),$H$25,IF(AND(N17&gt;0,'[19]Evalaucion Riesgo R1'!$F$11&gt;75,F17=2,H17=20),$H$25," ")))</f>
        <v xml:space="preserve"> </v>
      </c>
      <c r="BC17" s="26" t="str">
        <f>IF(AND(N17&gt;0,'[19]Evalaucion Riesgo R1'!$F$11&gt;75,F17=3,H17=5),$H$26,IF(AND(N17&gt;0,'[19]Evalaucion Riesgo R1'!$F$11&gt;75,F17=3,H17=10),$H$26,IF(AND(N17&gt;0,'[19]Evalaucion Riesgo R1'!$F$11&gt;75,F17=3,H17=20),$H$26," ")))</f>
        <v xml:space="preserve"> </v>
      </c>
      <c r="BD17" s="26" t="str">
        <f>IF(AND(N17&gt;0,'[19]Evalaucion Riesgo R1'!$F$11&gt;75,F17=4,H17=5),$H$27,IF(AND(N17&gt;0,'[19]Evalaucion Riesgo R1'!$F$11&gt;75,F17=4,H17=10),$H$27,IF(AND(N17&gt;0,'[19]Evalaucion Riesgo R1'!$F$11&gt;75,F17=4,H17=20),$H$27," ")))</f>
        <v>M</v>
      </c>
      <c r="BE17" s="26" t="str">
        <f>IF(AND(N17&gt;0,'[19]Evalaucion Riesgo R1'!$F$11&gt;75,F17=5,H17=5),$H$28,IF(AND(N17&gt;0,'[19]Evalaucion Riesgo R1'!$F$11&gt;75,F17=5,H17=10),$H$28,IF(AND(N17&gt;0,'[19]Evalaucion Riesgo R1'!$F$11&gt;75,F17=5,H17=20),$H$28," ")))</f>
        <v xml:space="preserve"> </v>
      </c>
      <c r="BG17" s="27" t="s">
        <v>32</v>
      </c>
      <c r="BH17" s="26" t="str">
        <f>IF(AND(N17&gt;0,'[19]Evalaucion Riesgo R1'!$F$11&gt;50,'[19]Evalaucion Riesgo R1'!$F$11&lt;76,F17=1,H17=5),$H$24,IF(AND(N17&gt;0,'[19]Evalaucion Riesgo R1'!$F$11&gt;50,'[19]Evalaucion Riesgo R1'!$F$11&lt;76,F17=1,H17=10),$H$24,IF(AND(N17&gt;0,'[19]Evalaucion Riesgo R1'!$F$11&gt;50,'[19]Evalaucion Riesgo R1'!$F$11&lt;76,F17=1,H17=20),$J$24," ")))</f>
        <v xml:space="preserve"> </v>
      </c>
      <c r="BI17" s="26" t="str">
        <f>IF(AND(N17&gt;0,'[19]Evalaucion Riesgo R1'!$F$11&gt;50,'[19]Evalaucion Riesgo R1'!$F$11&lt;76,F17=2,H17=5),$H$25,IF(AND(N17&gt;0,'[19]Evalaucion Riesgo R1'!$F$11&gt;50,'[19]Evalaucion Riesgo R1'!$F$11&lt;76,F17=2,H17=10),$H$25,IF(AND(N17&gt;0,'[19]Evalaucion Riesgo R1'!$F$11&gt;50,'[19]Evalaucion Riesgo R1'!$F$11&lt;76,F17=2,H17=20),$J$25," ")))</f>
        <v xml:space="preserve"> </v>
      </c>
      <c r="BJ17" s="26" t="str">
        <f>IF(AND(N17&gt;0,'[19]Evalaucion Riesgo R1'!$F$11&gt;50,'[19]Evalaucion Riesgo R1'!$F$11&lt;76,F17=3,H17=5),$H$26,IF(AND(N17&gt;0,'[19]Evalaucion Riesgo R1'!$F$11&gt;50,'[19]Evalaucion Riesgo R1'!$F$11&lt;76,F17=3,H17=10),$H$26,IF(AND(N17&gt;0,'[19]Evalaucion Riesgo R1'!$F$11&gt;50,'[19]Evalaucion Riesgo R1'!$F$11&lt;76,F17=3,H17=20),$J$26," ")))</f>
        <v xml:space="preserve"> </v>
      </c>
      <c r="BK17" s="26" t="str">
        <f>IF(AND(N17&gt;0,'[19]Evalaucion Riesgo R1'!$F$11&gt;50,'[19]Evalaucion Riesgo R1'!$F$11&lt;76,F17=4,H17=5),$H$27,IF(AND(N17&gt;0,'[19]Evalaucion Riesgo R1'!$F$11&gt;50,'[19]Evalaucion Riesgo R1'!$F$11&lt;76,F17=4,H17=10),$H$27,IF(AND(N17&gt;0,'[19]Evalaucion Riesgo R1'!$F$11&gt;50,'[19]Evalaucion Riesgo R1'!$F$11&lt;76,F17=4,H17=20),$J$27," ")))</f>
        <v xml:space="preserve"> </v>
      </c>
      <c r="BL17" s="26" t="str">
        <f>IF(AND(N17&gt;0,'[19]Evalaucion Riesgo R1'!$F$11&gt;50,'[19]Evalaucion Riesgo R1'!$F$11&lt;76,F17=5,H17=5),$H$28,IF(AND(N17&gt;0,'[19]Evalaucion Riesgo R1'!$F$11&gt;50,'[19]Evalaucion Riesgo R1'!$F$11&lt;76,F17=5,H17=10),$H$28,IF(AND(N17&gt;0,'[19]Evalaucion Riesgo R1'!$F$11&gt;50,'[19]Evalaucion Riesgo R1'!$F$11&lt;76,F17=5,H17=20),$J$28," ")))</f>
        <v xml:space="preserve"> </v>
      </c>
      <c r="BN17" s="27" t="s">
        <v>33</v>
      </c>
      <c r="BO17" s="26" t="str">
        <f>IF(AND(N17&gt;0,'[19]Evalaucion Riesgo R1'!$F$11&lt;51,F17=1,H17=5),$H$24,IF(AND(N17&gt;0,'[19]Evalaucion Riesgo R1'!$F$11&lt;51,F17=1,H17=10),$J$24,IF(AND(N17&gt;0,'[19]Evalaucion Riesgo R1'!$F$11&lt;51,F17=1,H17=20),$K$24," ")))</f>
        <v xml:space="preserve"> </v>
      </c>
      <c r="BP17" s="26" t="str">
        <f>IF(AND(N17&gt;0,'[19]Evalaucion Riesgo R1'!$F$11&lt;51,F17=2,H17=5),$H$25,IF(AND(N17&gt;0,'[19]Evalaucion Riesgo R1'!$F$11&lt;51,F17=2,H17=10),$J$25,IF(AND(N17&gt;0,'[19]Evalaucion Riesgo R1'!$F$11&lt;51,F17=2,H17=20),$K$25," ")))</f>
        <v xml:space="preserve"> </v>
      </c>
      <c r="BQ17" s="26" t="str">
        <f>IF(AND(N17&gt;0,'[19]Evalaucion Riesgo R1'!$F$11&lt;51,F17=3,H17=5),$H$26,IF(AND(N17&gt;0,'[19]Evalaucion Riesgo R1'!$F$11&lt;51,F17=3,H17=10),$J$26,IF(AND(N17&gt;0,'[19]Evalaucion Riesgo R1'!$F$11&lt;51,F17=3,H17=20),$K$26," ")))</f>
        <v xml:space="preserve"> </v>
      </c>
      <c r="BR17" s="26" t="str">
        <f>IF(AND(N17&gt;0,'[19]Evalaucion Riesgo R1'!$F$11&lt;51,F17=4,H17=5),$H$27,IF(AND(N17&gt;0,'[19]Evalaucion Riesgo R1'!$F$11&lt;51,F17=4,H17=10),$J$27,IF(AND(N17&gt;0,'[19]Evalaucion Riesgo R1'!$F$11&lt;51,F17=4,H17=20),$K$27," ")))</f>
        <v xml:space="preserve"> </v>
      </c>
      <c r="BS17" s="26" t="str">
        <f>IF(AND(N17&gt;0,'[19]Evalaucion Riesgo R1'!$F$11&lt;51,F17=5,H17=5),$H$28,IF(AND(N17&gt;0,'[19]Evalaucion Riesgo R1'!$F$11&lt;51,F17=5,H17=10),$J$28,IF(AND(N17&gt;0,'[19]Evalaucion Riesgo R1'!$F$11&lt;51,F17=5,H17=20),$K$28," ")))</f>
        <v xml:space="preserve"> </v>
      </c>
    </row>
    <row r="18" spans="1:71" s="428" customFormat="1" ht="409.5" customHeight="1" thickBot="1" x14ac:dyDescent="0.3">
      <c r="A18" s="435" t="s">
        <v>229</v>
      </c>
      <c r="B18" s="436" t="s">
        <v>230</v>
      </c>
      <c r="C18" s="436" t="s">
        <v>231</v>
      </c>
      <c r="D18" s="436" t="s">
        <v>232</v>
      </c>
      <c r="E18" s="436" t="s">
        <v>89</v>
      </c>
      <c r="F18" s="437">
        <v>3</v>
      </c>
      <c r="G18" s="437" t="s">
        <v>83</v>
      </c>
      <c r="H18" s="437">
        <v>10</v>
      </c>
      <c r="I18" s="437" t="s">
        <v>84</v>
      </c>
      <c r="J18" s="434" t="s">
        <v>43</v>
      </c>
      <c r="K18" s="443" t="s">
        <v>223</v>
      </c>
      <c r="L18" s="535" t="s">
        <v>26</v>
      </c>
      <c r="M18" s="536"/>
      <c r="N18" s="437" t="s">
        <v>43</v>
      </c>
      <c r="O18" s="438" t="s">
        <v>85</v>
      </c>
      <c r="P18" s="438" t="s">
        <v>90</v>
      </c>
      <c r="Q18" s="442" t="s">
        <v>224</v>
      </c>
      <c r="R18" s="442" t="s">
        <v>224</v>
      </c>
      <c r="S18" s="438" t="s">
        <v>170</v>
      </c>
      <c r="T18" s="440"/>
      <c r="U18" s="441"/>
      <c r="V18" s="441" t="s">
        <v>269</v>
      </c>
      <c r="W18" s="439" t="s">
        <v>270</v>
      </c>
      <c r="X18" s="433"/>
      <c r="Y18" s="433"/>
      <c r="Z18" s="433"/>
      <c r="AA18" s="433"/>
      <c r="AB18" s="433"/>
      <c r="AC18" s="433"/>
      <c r="AD18" s="433"/>
      <c r="AE18" s="433"/>
      <c r="AF18" s="433"/>
      <c r="AG18" s="433"/>
      <c r="AH18" s="429"/>
      <c r="AI18" s="429"/>
      <c r="AJ18" s="429"/>
      <c r="AK18" s="430"/>
      <c r="AL18" s="429"/>
      <c r="AM18" s="429"/>
      <c r="AN18" s="429"/>
      <c r="AO18" s="429"/>
      <c r="AP18" s="429"/>
      <c r="AR18" s="430"/>
      <c r="AS18" s="429"/>
      <c r="AT18" s="429"/>
      <c r="AU18" s="429"/>
      <c r="AV18" s="429"/>
      <c r="AW18" s="429"/>
      <c r="AZ18" s="430"/>
      <c r="BA18" s="429"/>
      <c r="BB18" s="429"/>
      <c r="BC18" s="429"/>
      <c r="BD18" s="429"/>
      <c r="BE18" s="429"/>
      <c r="BG18" s="430"/>
      <c r="BH18" s="429"/>
      <c r="BI18" s="429"/>
      <c r="BJ18" s="429"/>
      <c r="BK18" s="429"/>
      <c r="BL18" s="429"/>
      <c r="BN18" s="430"/>
      <c r="BO18" s="429"/>
      <c r="BP18" s="429"/>
      <c r="BQ18" s="429"/>
      <c r="BR18" s="429"/>
      <c r="BS18" s="429"/>
    </row>
    <row r="19" spans="1:71" ht="360.75" customHeight="1" x14ac:dyDescent="0.25">
      <c r="A19" s="229" t="str">
        <f>IF(ISTEXT([20]IdentificaciónRiesgos!$B8),[20]IdentificaciónRiesgos!$A8,"")</f>
        <v xml:space="preserve">
 1. Desconocimiento de las normas y del procedimiento       
2. Error en la parametrización de los conceptos salariales y de descuentos para la liquidación de nómina    
3. Fallas en el aplicativo PERNO del Sistema de Personal y Nómina del Instituto.
4. Demoras en el trámite de los actos administrativos. 
5.. Que los datos incluidos en la nómina no correspondan al soporte enviado o al funcionario, y se genere un error en el valor cancelado mensual.
6. Error humano
</v>
      </c>
      <c r="B19" s="230" t="str">
        <f>IF(ISTEXT([20]IdentificaciónRiesgos!$B8),[20]IdentificaciónRiesgos!$B8,"")</f>
        <v xml:space="preserve">Manipulación en la liquidación de la nómina e inconsistencia en la información de novedades de personal. </v>
      </c>
      <c r="C19" s="230" t="str">
        <f>IF(ISTEXT([20]IdentificaciónRiesgos!$B8),[20]IdentificaciónRiesgos!$C8,"")</f>
        <v xml:space="preserve">Omitir o registrar inoportuna y/o incorrectamente cualquier novedad relacionada con los funcionarios del Instituto en el Sistema PERNO </v>
      </c>
      <c r="D19" s="230" t="str">
        <f>IF(ISTEXT([20]IdentificaciónRiesgos!$B8),[20]IdentificaciónRiesgos!$D8,"")</f>
        <v xml:space="preserve">    
 1. Investigaciones disciplinarias  
 2. Demandas y sanciones disciplinarias  
3. Pagos indebidos  
4. Afectación de la imagen de la entidad
 5. Peticiones, quejas, reclamos y derechos por parte de los afectados
6. Detrimento patrimonial</v>
      </c>
      <c r="E19" s="230" t="str">
        <f>IF(ISTEXT([20]IdentificaciónRiesgos!$B8),VLOOKUP($C19,[20]DefiniciónRiesgos!$A$4:$F$9,6,FALSE),"")</f>
        <v>RIESGO DE CORRUPCIÓN</v>
      </c>
      <c r="F19" s="355">
        <f>IF(ISTEXT([20]IdentificaciónRiesgos!$B8),IF(EXACT([20]AnálisisRiesgos!$B11,"X"),5,IF(EXACT([20]AnálisisRiesgos!$C11,"X"),4,IF(EXACT([20]AnálisisRiesgos!$D11,"X"),3,IF(EXACT([20]AnálisisRiesgos!$E11,"X"),2,IF(EXACT([20]AnálisisRiesgos!$F11,"X"),1,""))))),"")</f>
        <v>4</v>
      </c>
      <c r="G19" s="355" t="str">
        <f t="shared" si="0"/>
        <v>Probable</v>
      </c>
      <c r="H19" s="355">
        <f>IF(EXACT($B19,""),"",IF(EXACT($E19,"RIESGO DE GESTIÓN"),IF(EXACT([20]AnálisisRiesgos!$G11,"X"),5,IF(EXACT([20]AnálisisRiesgos!$H11,"X"),4,IF(EXACT([20]AnálisisRiesgos!$I11,"X"),3,IF(EXACT([20]AnálisisRiesgos!$J11,"X"),2,1)))),IF(EXACT([20]AnálisisRiesgos!$L11,"X"),20,IF(EXACT([20]AnálisisRiesgos!$M11,"X"),10,5))))</f>
        <v>10</v>
      </c>
      <c r="I19" s="355" t="str">
        <f t="shared" si="1"/>
        <v>Mayor</v>
      </c>
      <c r="J19" s="228" t="s">
        <v>43</v>
      </c>
      <c r="K19" s="231" t="s">
        <v>216</v>
      </c>
      <c r="L19" s="533"/>
      <c r="M19" s="534"/>
      <c r="N19" s="355" t="s">
        <v>10</v>
      </c>
      <c r="O19" s="345" t="s">
        <v>43</v>
      </c>
      <c r="P19" s="345" t="s">
        <v>85</v>
      </c>
      <c r="Q19" s="346" t="s">
        <v>90</v>
      </c>
      <c r="R19" s="346" t="s">
        <v>217</v>
      </c>
      <c r="S19" s="345" t="s">
        <v>218</v>
      </c>
      <c r="T19" s="232"/>
      <c r="U19" s="432"/>
      <c r="V19" s="441" t="s">
        <v>271</v>
      </c>
      <c r="W19" s="442" t="s">
        <v>272</v>
      </c>
      <c r="Y19" s="26" t="str">
        <f>IF(AND(F19=1,H19=5),$H$24,IF(AND(F19=1,H19=10),$J$24,IF(AND(F19=1,H19=20),$K$24," ")))</f>
        <v xml:space="preserve"> </v>
      </c>
      <c r="Z19" s="26" t="str">
        <f>IF(AND(F19=2,H19=5),$H$25,IF(AND(F19=2,H19=10),$J$25,IF(AND(F19=2,H19=20),$K$25," ")))</f>
        <v xml:space="preserve"> </v>
      </c>
      <c r="AA19" s="26" t="str">
        <f>IF(AND(F19=3,H19=5),$H$26,IF(AND(F19=3,H19=10),$J$26,IF(AND(F19=3,H19=20),$K$26," ")))</f>
        <v xml:space="preserve"> </v>
      </c>
      <c r="AB19" s="26" t="str">
        <f>IF(AND(F19=4,H19=5),$H$27,IF(AND(F19=4,H19=10),$J$27,IF(AND(F19=4,H19=20),$K$27," ")))</f>
        <v>A</v>
      </c>
      <c r="AC19" s="26" t="str">
        <f>IF(AND(F19=5,H19=5),$H$28,IF(AND(F19=5,H19=10),$J$28,IF(AND(F19=5,H19=20),$K$28," ")))</f>
        <v xml:space="preserve"> </v>
      </c>
      <c r="AF19" s="26" t="str">
        <f>IF(AND(L19&gt;0,'[19]Evalaucion Riesgo R2'!$F$11&gt;75,F19=1,H19=5),$H$24,IF(AND(L19&gt;0,'[19]Evalaucion Riesgo R2'!$F$11&gt;75,F19=1,H19=10),$J$24,IF(AND(L19&gt;0,'[19]Evalaucion Riesgo R2'!$F$11&gt;75,F19=1,H19=20),$K$24," ")))</f>
        <v xml:space="preserve"> </v>
      </c>
      <c r="AG19" s="26" t="str">
        <f>IF(AND(L19&gt;0,'[19]Evalaucion Riesgo R2'!$F$11&gt;75,F19=2,H19=5),$H$24,IF(AND(L19&gt;0,'[19]Evalaucion Riesgo R2'!$F$11&gt;75,F19=2,H19=10),$J$24,IF(AND(L19&gt;0,'[19]Evalaucion Riesgo R2'!$F$11&gt;75,F19=2,H19=20),$K$24," ")))</f>
        <v xml:space="preserve"> </v>
      </c>
      <c r="AH19" s="26" t="str">
        <f>IF(AND(L19&gt;0,'[19]Evalaucion Riesgo R2'!$F$11&gt;75,F19=3,H19=5),$H$24,IF(AND(L19&gt;0,'[19]Evalaucion Riesgo R2'!$F$11&gt;75,F19=3,H19=10),$J$24,IF(AND(L19&gt;0,'[19]Evalaucion Riesgo R2'!$F$11&gt;75,F19=3,H19=20),$K$24," ")))</f>
        <v xml:space="preserve"> </v>
      </c>
      <c r="AI19" s="26" t="str">
        <f>IF(AND(L19&gt;0,'[19]Evalaucion Riesgo R2'!$F$11&gt;75,F19=4,H19=5),$H$25,IF(AND(L19&gt;0,'[19]Evalaucion Riesgo R2'!$F$11&gt;75,F19=4,H19=10),$J$25,IF(AND(L19&gt;0,'[19]Evalaucion Riesgo R2'!$F$11&gt;75,F19=4,H19=20),$K$25," ")))</f>
        <v xml:space="preserve"> </v>
      </c>
      <c r="AJ19" s="26" t="str">
        <f>IF(AND(L19&gt;0,'[19]Evalaucion Riesgo R2'!$F$11&gt;75,F19=5,H19=5),$H$26,IF(AND(L19&gt;0,'[19]Evalaucion Riesgo R2'!$F$11&gt;75,F19=5,H19=10),$J$26,IF(AND(L19&gt;0,'[19]Evalaucion Riesgo R2'!$F$11&gt;75,F19=5,H19=20),$K$26," ")))</f>
        <v xml:space="preserve"> </v>
      </c>
      <c r="AL19" s="26" t="str">
        <f>IF(AND(L19&gt;0,'[19]Evalaucion Riesgo R2'!$F$11&gt;50,'[19]Evalaucion Riesgo R2'!$F$11&lt;76,F19=1,H19=5),$H$24,IF(AND(L19&gt;0,'[19]Evalaucion Riesgo R2'!$F$11&gt;50,'[19]Evalaucion Riesgo R2'!$F$11&lt;76,F19=1,H19=10),$J$24,IF(AND(L19&gt;0,'[19]Evalaucion Riesgo R2'!$F$11&gt;50,'[19]Evalaucion Riesgo R2'!$F$11&lt;76,F19=1,H19=20),$K$24," ")))</f>
        <v xml:space="preserve"> </v>
      </c>
      <c r="AM19" s="26" t="str">
        <f>IF(AND(L19&gt;0,'[19]Evalaucion Riesgo R2'!$F$11&gt;50,'[19]Evalaucion Riesgo R2'!$F$11&lt;76,F19=2,H19=5),$H$24,IF(AND(L19&gt;0,'[19]Evalaucion Riesgo R2'!$F$11&gt;50,'[19]Evalaucion Riesgo R2'!$F$11&lt;76,F19=2,H19=10),$J$24,IF(AND(L19&gt;0,'[19]Evalaucion Riesgo R2'!$F$11&gt;50,'[19]Evalaucion Riesgo R2'!$F$11&lt;76,F19=2,H19=20),$K$24," ")))</f>
        <v xml:space="preserve"> </v>
      </c>
      <c r="AN19" s="26" t="str">
        <f>IF(AND(L19&gt;0,'[19]Evalaucion Riesgo R2'!$F$11&gt;50,'[19]Evalaucion Riesgo R2'!$F$11&lt;76,F19=3,H19=5),$H$25,IF(AND(L19&gt;0,'[19]Evalaucion Riesgo R2'!$F$11&gt;50,'[19]Evalaucion Riesgo R2'!$F$11&lt;76,F19=3,H19=10),$J$25,IF(AND(L19&gt;0,'[19]Evalaucion Riesgo R2'!$F$11&gt;50,'[19]Evalaucion Riesgo R2'!$F$11&lt;76,F19=3,H19=20),$K$25," ")))</f>
        <v xml:space="preserve"> </v>
      </c>
      <c r="AO19" s="26" t="str">
        <f>IF(AND(L19&gt;0,'[19]Evalaucion Riesgo R2'!$F$11&gt;50,'[19]Evalaucion Riesgo R2'!$F$11&lt;76,F19=4,H19=5),$H$26,IF(AND(L19&gt;0,'[19]Evalaucion Riesgo R2'!$F$11&gt;50,'[19]Evalaucion Riesgo R2'!$F$11&lt;76,F19=4,H19=10),$J$26,IF(AND(L19&gt;0,'[19]Evalaucion Riesgo R2'!$F$11&gt;50,'[19]Evalaucion Riesgo R2'!$F$11&lt;76,F19=4,H19=20),$K$26," ")))</f>
        <v xml:space="preserve"> </v>
      </c>
      <c r="AP19" s="26" t="str">
        <f>IF(AND(L19&gt;0,'[19]Evalaucion Riesgo R2'!$F$11&gt;50,'[19]Evalaucion Riesgo R2'!$F$11&lt;76,F19=5,H19=5),$H$27,IF(AND(L19&gt;0,'[19]Evalaucion Riesgo R2'!$F$11&gt;50,'[19]Evalaucion Riesgo R2'!$F$11&lt;76,F19=5,H19=10),$J$27,IF(AND(L19&gt;0,'[19]Evalaucion Riesgo R2'!$F$11&gt;50,'[19]Evalaucion Riesgo R2'!$F$11&lt;76,F19=5,H19=20),$K$27," ")))</f>
        <v xml:space="preserve"> </v>
      </c>
      <c r="AS19" s="26" t="str">
        <f>IF(AND(L19&gt;0,'[19]Evalaucion Riesgo R2'!$F$11&lt;51,F19=1,H19=5),$H$24,IF(AND(L19&gt;0,'[19]Evalaucion Riesgo R2'!$F$11&lt;51,F19=1,H19=10),$J$24,IF(AND(L19&gt;0,'[19]Evalaucion Riesgo R2'!$F$11&lt;51,F19=1,H19=20),K$24," ")))</f>
        <v xml:space="preserve"> </v>
      </c>
      <c r="AT19" s="26" t="str">
        <f>IF(AND(L19&gt;0,'[19]Evalaucion Riesgo R2'!$F$11&lt;51,F19=2,H19=5),$H$25,IF(AND(L19&gt;0,'[19]Evalaucion Riesgo R2'!$F$11&lt;51,F19=2,H19=10),$J$25,IF(AND(L19&gt;0,'[19]Evalaucion Riesgo R2'!$F$11&lt;51,F19=2,H19=20),K$25," ")))</f>
        <v xml:space="preserve"> </v>
      </c>
      <c r="AU19" s="26" t="str">
        <f>IF(AND(L19&gt;0,'[19]Evalaucion Riesgo R2'!$F$11&lt;51,F19=3,H19=5),$H$26,IF(AND(L19&gt;0,'[19]Evalaucion Riesgo R2'!$F$11&lt;51,F19=3,H19=10),$J$26,IF(AND(L19&gt;0,'[19]Evalaucion Riesgo R2'!$F$11&lt;51,F19=3,H19=20),K$26," ")))</f>
        <v xml:space="preserve"> </v>
      </c>
      <c r="AV19" s="26" t="str">
        <f>IF(AND(L19&gt;0,'[19]Evalaucion Riesgo R2'!$F$11&lt;51,F19=4,H19=5),$H$27,IF(AND(L19&gt;0,'[19]Evalaucion Riesgo R2'!$F$11&lt;51,F19=4,H19=10),$J$27,IF(AND(L19&gt;0,'[19]Evalaucion Riesgo R2'!$F$11&lt;51,F19=4,H19=20),K$27," ")))</f>
        <v xml:space="preserve"> </v>
      </c>
      <c r="AW19" s="26" t="str">
        <f>IF(AND(L19&gt;0,'[19]Evalaucion Riesgo R2'!$F$11&lt;51,F19=5,H19=5),$H$28,IF(AND(L19&gt;0,'[19]Evalaucion Riesgo R2'!$F$11&lt;51,F19=5,H19=10),$J$28,IF(AND(L19&gt;0,'[19]Evalaucion Riesgo R2'!$F$11&lt;51,F19=5,H19=20),K$28," ")))</f>
        <v xml:space="preserve"> </v>
      </c>
      <c r="BA19" s="26" t="str">
        <f>IF(AND(N19&gt;0,'[19]Evalaucion Riesgo R2'!$F$11&gt;75,F19=1,H19=5),$H$24,IF(AND(N19&gt;0,'[19]Evalaucion Riesgo R2'!$F$11&gt;75,F19=1,H19=10),$H$24,IF(AND(N19&gt;0,'[19]Evalaucion Riesgo R2'!$F$11&gt;75,F19=1,H19=20),$H$24," ")))</f>
        <v xml:space="preserve"> </v>
      </c>
      <c r="BB19" s="26" t="str">
        <f>IF(AND(N19&gt;0,'[19]Evalaucion Riesgo R2'!$F$11&gt;75,F19=2,H19=5),$H$25,IF(AND(N19&gt;0,'[19]Evalaucion Riesgo R2'!$F$11&gt;75,F19=2,H19=10),$H$25,IF(AND(N19&gt;0,'[19]Evalaucion Riesgo R2'!$F$11&gt;75,F19=2,H19=20),$H$25," ")))</f>
        <v xml:space="preserve"> </v>
      </c>
      <c r="BC19" s="26" t="str">
        <f>IF(AND(N19&gt;0,'[19]Evalaucion Riesgo R2'!$F$11&gt;75,F19=3,H19=5),$H$26,IF(AND(N19&gt;0,'[19]Evalaucion Riesgo R2'!$F$11&gt;75,F19=3,H19=10),$H$26,IF(AND(N19&gt;0,'[19]Evalaucion Riesgo R2'!$F$11&gt;75,F19=3,H19=20),$H$26," ")))</f>
        <v xml:space="preserve"> </v>
      </c>
      <c r="BD19" s="26" t="str">
        <f>IF(AND(N19&gt;0,'[19]Evalaucion Riesgo R2'!$F$11&gt;75,F19=4,H19=5),$H$27,IF(AND(N19&gt;0,'[19]Evalaucion Riesgo R2'!$F$11&gt;75,F19=4,H19=10),$H$27,IF(AND(N19&gt;0,'[19]Evalaucion Riesgo R2'!$F$11&gt;75,F19=4,H19=20),$H$27," ")))</f>
        <v xml:space="preserve"> </v>
      </c>
      <c r="BE19" s="26" t="str">
        <f>IF(AND(N19&gt;0,'[19]Evalaucion Riesgo R2'!$F$11&gt;75,F19=5,H19=5),$H$28,IF(AND(N19&gt;0,'[19]Evalaucion Riesgo R2'!$F$11&gt;75,F19=5,H19=10),$H$28,IF(AND(N19&gt;0,'[19]Evalaucion Riesgo R2'!$F$11&gt;75,F19=5,H19=20),$H$28," ")))</f>
        <v xml:space="preserve"> </v>
      </c>
      <c r="BH19" s="26" t="str">
        <f>IF(AND(N19&gt;0,'[19]Evalaucion Riesgo R2'!$F$11&gt;50,'[19]Evalaucion Riesgo R2'!$F$11&lt;76,F19=1,H19=5),$H$24,IF(AND(N19&gt;0,'[19]Evalaucion Riesgo R2'!$F$11&gt;50,'[19]Evalaucion Riesgo R2'!$F$11&lt;76,F19=1,H19=10),$H$24,IF(AND(N19&gt;0,'[19]Evalaucion Riesgo R2'!$F$11&gt;50,'[19]Evalaucion Riesgo R2'!$F$11&lt;76,F19=1,H19=20),$J$24," ")))</f>
        <v xml:space="preserve"> </v>
      </c>
      <c r="BI19" s="26" t="str">
        <f>IF(AND(N19&gt;0,'[19]Evalaucion Riesgo R2'!$F$11&gt;50,'[19]Evalaucion Riesgo R2'!$F$11&lt;76,F19=2,H19=5),$H$25,IF(AND(N19&gt;0,'[19]Evalaucion Riesgo R2'!$F$11&gt;50,'[19]Evalaucion Riesgo R2'!$F$11&lt;76,F19=2,H19=10),$H$25,IF(AND(N19&gt;0,'[19]Evalaucion Riesgo R2'!$F$11&gt;50,'[19]Evalaucion Riesgo R2'!$F$11&lt;76,F19=2,H19=20),$J$25," ")))</f>
        <v xml:space="preserve"> </v>
      </c>
      <c r="BJ19" s="26" t="str">
        <f>IF(AND(N19&gt;0,'[19]Evalaucion Riesgo R2'!$F$11&gt;50,'[19]Evalaucion Riesgo R2'!$F$11&lt;76,F19=3,H19=5),$H$26,IF(AND(N19&gt;0,'[19]Evalaucion Riesgo R2'!$F$11&gt;50,'[19]Evalaucion Riesgo R2'!$F$11&lt;76,F19=3,H19=10),$H$26,IF(AND(N19&gt;0,'[19]Evalaucion Riesgo R2'!$F$11&gt;50,'[19]Evalaucion Riesgo R2'!$F$11&lt;76,F19=3,H19=20),$J$26," ")))</f>
        <v xml:space="preserve"> </v>
      </c>
      <c r="BK19" s="26" t="str">
        <f>IF(AND(N19&gt;0,'[19]Evalaucion Riesgo R2'!$F$11&gt;50,'[19]Evalaucion Riesgo R2'!$F$11&lt;76,F19=4,H19=5),$H$27,IF(AND(N19&gt;0,'[19]Evalaucion Riesgo R2'!$F$11&gt;50,'[19]Evalaucion Riesgo R2'!$F$11&lt;76,F19=4,H19=10),$H$27,IF(AND(N19&gt;0,'[19]Evalaucion Riesgo R2'!$F$11&gt;50,'[19]Evalaucion Riesgo R2'!$F$11&lt;76,F19=4,H19=20),$J$27," ")))</f>
        <v xml:space="preserve"> </v>
      </c>
      <c r="BL19" s="26" t="str">
        <f>IF(AND(N19&gt;0,'[19]Evalaucion Riesgo R2'!$F$11&gt;50,'[19]Evalaucion Riesgo R2'!$F$11&lt;76,F19=5,H19=5),$H$28,IF(AND(N19&gt;0,'[19]Evalaucion Riesgo R2'!$F$11&gt;50,'[19]Evalaucion Riesgo R2'!$F$11&lt;76,F19=5,H19=10),$H$28,IF(AND(N19&gt;0,'[19]Evalaucion Riesgo R2'!$F$11&gt;50,'[19]Evalaucion Riesgo R2'!$F$11&lt;76,F19=5,H19=20),$J$28," ")))</f>
        <v xml:space="preserve"> </v>
      </c>
      <c r="BO19" s="26" t="str">
        <f>IF(AND(N19&gt;0,'[19]Evalaucion Riesgo R2'!$F$11&lt;51,F19=1,H19=5),$H$24,IF(AND(N19&gt;0,'[19]Evalaucion Riesgo R2'!$F$11&lt;51,F19=1,H19=10),$J$24,IF(AND(N19&gt;0,'[19]Evalaucion Riesgo R2'!$F$11&lt;51,F19=1,H19=20),$K$24," ")))</f>
        <v xml:space="preserve"> </v>
      </c>
      <c r="BP19" s="26" t="str">
        <f>IF(AND(N19&gt;0,'[19]Evalaucion Riesgo R2'!$F$11&lt;51,F19=2,H19=5),$H$25,IF(AND(N19&gt;0,'[19]Evalaucion Riesgo R2'!$F$11&lt;51,F19=2,H19=10),$J$25,IF(AND(N19&gt;0,'[19]Evalaucion Riesgo R2'!$F$11&lt;51,F19=2,H19=20),$K$25," ")))</f>
        <v xml:space="preserve"> </v>
      </c>
      <c r="BQ19" s="26" t="str">
        <f>IF(AND(N19&gt;0,'[19]Evalaucion Riesgo R2'!$F$11&lt;51,F19=3,H19=5),$H$26,IF(AND(N19&gt;0,'[19]Evalaucion Riesgo R2'!$F$11&lt;51,F19=3,H19=10),$J$26,IF(AND(N19&gt;0,'[19]Evalaucion Riesgo R2'!$F$11&lt;51,F19=3,H19=20),$K$26," ")))</f>
        <v xml:space="preserve"> </v>
      </c>
      <c r="BR19" s="26" t="str">
        <f>IF(AND(N19&gt;0,'[19]Evalaucion Riesgo R2'!$F$11&lt;51,F19=4,H19=5),$H$27,IF(AND(N19&gt;0,'[19]Evalaucion Riesgo R2'!$F$11&lt;51,F19=4,H19=10),$J$27,IF(AND(N19&gt;0,'[19]Evalaucion Riesgo R2'!$F$11&lt;51,F19=4,H19=20),$K$27," ")))</f>
        <v>A</v>
      </c>
      <c r="BS19" s="26" t="str">
        <f>IF(AND(N19&gt;0,'[19]Evalaucion Riesgo R2'!$F$11&lt;51,F19=5,H19=5),$H$28,IF(AND(N19&gt;0,'[19]Evalaucion Riesgo R2'!$F$11&lt;51,F19=5,H19=10),$J$28,IF(AND(N19&gt;0,'[19]Evalaucion Riesgo R2'!$F$11&lt;51,F19=5,H19=20),$K$28," ")))</f>
        <v xml:space="preserve"> </v>
      </c>
    </row>
    <row r="20" spans="1:71" s="125" customFormat="1" ht="272.25" customHeight="1" x14ac:dyDescent="0.25">
      <c r="A20" s="234" t="s">
        <v>171</v>
      </c>
      <c r="B20" s="235" t="s">
        <v>172</v>
      </c>
      <c r="C20" s="235" t="s">
        <v>173</v>
      </c>
      <c r="D20" s="235" t="s">
        <v>174</v>
      </c>
      <c r="E20" s="235" t="s">
        <v>89</v>
      </c>
      <c r="F20" s="236">
        <v>4</v>
      </c>
      <c r="G20" s="236" t="s">
        <v>86</v>
      </c>
      <c r="H20" s="236">
        <v>10</v>
      </c>
      <c r="I20" s="237" t="s">
        <v>84</v>
      </c>
      <c r="J20" s="238" t="s">
        <v>43</v>
      </c>
      <c r="K20" s="246" t="s">
        <v>175</v>
      </c>
      <c r="L20" s="371"/>
      <c r="M20" s="245"/>
      <c r="N20" s="355" t="s">
        <v>10</v>
      </c>
      <c r="O20" s="345" t="s">
        <v>43</v>
      </c>
      <c r="P20" s="345" t="s">
        <v>88</v>
      </c>
      <c r="Q20" s="240" t="s">
        <v>90</v>
      </c>
      <c r="R20" s="240" t="s">
        <v>176</v>
      </c>
      <c r="S20" s="444" t="s">
        <v>177</v>
      </c>
      <c r="T20" s="232"/>
      <c r="U20" s="353"/>
      <c r="V20" s="441" t="s">
        <v>273</v>
      </c>
      <c r="W20" s="241" t="s">
        <v>274</v>
      </c>
    </row>
    <row r="21" spans="1:71" s="226" customFormat="1" ht="143.25" customHeight="1" thickBot="1" x14ac:dyDescent="0.3">
      <c r="B21" s="227"/>
      <c r="C21" s="227"/>
      <c r="D21" s="227"/>
      <c r="E21" s="227"/>
      <c r="F21" s="242"/>
      <c r="G21" s="242"/>
      <c r="H21" s="243"/>
      <c r="I21" s="243"/>
      <c r="J21" s="243"/>
      <c r="L21" s="242"/>
      <c r="M21" s="242"/>
      <c r="T21" s="242"/>
    </row>
    <row r="22" spans="1:71" s="125" customFormat="1" ht="163.5" customHeight="1" x14ac:dyDescent="0.25">
      <c r="B22" s="126"/>
      <c r="C22" s="126"/>
      <c r="D22" s="126"/>
      <c r="E22" s="126"/>
      <c r="F22" s="462" t="s">
        <v>26</v>
      </c>
      <c r="G22" s="244"/>
      <c r="H22" s="519" t="s">
        <v>10</v>
      </c>
      <c r="I22" s="519"/>
      <c r="J22" s="519"/>
      <c r="K22" s="519"/>
      <c r="R22" s="181"/>
    </row>
    <row r="23" spans="1:71" ht="138" customHeight="1" thickBot="1" x14ac:dyDescent="0.3">
      <c r="A23" s="5"/>
      <c r="B23" s="32" t="s">
        <v>34</v>
      </c>
      <c r="C23" s="32"/>
      <c r="D23" s="32"/>
      <c r="E23" s="32"/>
      <c r="F23" s="463"/>
      <c r="G23" s="66"/>
      <c r="H23" s="33" t="s">
        <v>35</v>
      </c>
      <c r="I23" s="33"/>
      <c r="J23" s="34" t="s">
        <v>36</v>
      </c>
      <c r="K23" s="33" t="s">
        <v>37</v>
      </c>
      <c r="L23" s="2"/>
      <c r="M23" s="115"/>
      <c r="R23" s="5"/>
      <c r="T23" s="2"/>
    </row>
    <row r="24" spans="1:71" ht="15.75" thickBot="1" x14ac:dyDescent="0.3">
      <c r="B24" s="5" t="s">
        <v>38</v>
      </c>
      <c r="C24" s="5"/>
      <c r="F24" s="35" t="s">
        <v>39</v>
      </c>
      <c r="G24" s="35"/>
      <c r="H24" s="36" t="s">
        <v>40</v>
      </c>
      <c r="I24" s="36"/>
      <c r="J24" s="36" t="s">
        <v>40</v>
      </c>
      <c r="K24" s="37" t="s">
        <v>41</v>
      </c>
      <c r="L24" s="2"/>
      <c r="M24" s="115"/>
      <c r="R24" s="5"/>
      <c r="T24" s="2"/>
    </row>
    <row r="25" spans="1:71" ht="15.75" thickBot="1" x14ac:dyDescent="0.3">
      <c r="F25" s="35" t="s">
        <v>42</v>
      </c>
      <c r="G25" s="35"/>
      <c r="H25" s="36" t="s">
        <v>40</v>
      </c>
      <c r="I25" s="36"/>
      <c r="J25" s="37" t="s">
        <v>41</v>
      </c>
      <c r="K25" s="38" t="s">
        <v>43</v>
      </c>
      <c r="L25" s="2"/>
      <c r="M25" s="115"/>
      <c r="R25" s="5"/>
      <c r="T25" s="2"/>
    </row>
    <row r="26" spans="1:71" ht="15.75" thickBot="1" x14ac:dyDescent="0.3">
      <c r="F26" s="35" t="s">
        <v>44</v>
      </c>
      <c r="G26" s="35"/>
      <c r="H26" s="37" t="s">
        <v>41</v>
      </c>
      <c r="I26" s="37"/>
      <c r="J26" s="38" t="s">
        <v>43</v>
      </c>
      <c r="K26" s="39" t="s">
        <v>45</v>
      </c>
      <c r="L26" s="2"/>
      <c r="M26" s="115"/>
      <c r="R26" s="5"/>
      <c r="T26" s="2"/>
    </row>
    <row r="27" spans="1:71" ht="15.75" thickBot="1" x14ac:dyDescent="0.3">
      <c r="F27" s="35" t="s">
        <v>46</v>
      </c>
      <c r="G27" s="35"/>
      <c r="H27" s="37" t="s">
        <v>41</v>
      </c>
      <c r="I27" s="37"/>
      <c r="J27" s="38" t="s">
        <v>43</v>
      </c>
      <c r="K27" s="39" t="s">
        <v>45</v>
      </c>
      <c r="L27" s="2"/>
      <c r="M27" s="115"/>
      <c r="R27" s="5"/>
      <c r="T27" s="2"/>
    </row>
    <row r="28" spans="1:71" ht="15.75" thickBot="1" x14ac:dyDescent="0.3">
      <c r="F28" s="35" t="s">
        <v>47</v>
      </c>
      <c r="G28" s="35"/>
      <c r="H28" s="37" t="s">
        <v>41</v>
      </c>
      <c r="I28" s="37"/>
      <c r="J28" s="38" t="s">
        <v>43</v>
      </c>
      <c r="K28" s="39" t="s">
        <v>45</v>
      </c>
      <c r="L28" s="2"/>
      <c r="M28" s="115"/>
      <c r="R28" s="5"/>
      <c r="T28" s="2"/>
    </row>
    <row r="29" spans="1:71" x14ac:dyDescent="0.25">
      <c r="F29" s="2"/>
      <c r="G29" s="2"/>
      <c r="H29" s="2"/>
      <c r="I29" s="2"/>
      <c r="J29" s="2"/>
      <c r="K29" s="5"/>
      <c r="N29" s="5"/>
    </row>
    <row r="30" spans="1:71" ht="15" x14ac:dyDescent="0.25">
      <c r="F30" s="40" t="s">
        <v>48</v>
      </c>
      <c r="G30" s="40"/>
      <c r="H30" s="2"/>
      <c r="I30" s="2"/>
      <c r="J30" s="2"/>
      <c r="K30" s="5"/>
      <c r="N30" s="5"/>
      <c r="O30" s="5"/>
      <c r="P30" s="5"/>
      <c r="Q30" s="5"/>
    </row>
    <row r="31" spans="1:71" ht="15" x14ac:dyDescent="0.25">
      <c r="F31" s="41" t="s">
        <v>49</v>
      </c>
      <c r="G31" s="41"/>
      <c r="H31" s="2"/>
      <c r="I31" s="2"/>
      <c r="J31" s="2"/>
      <c r="K31" s="5"/>
      <c r="N31" s="5"/>
      <c r="O31" s="5"/>
      <c r="P31" s="5"/>
      <c r="Q31" s="5"/>
    </row>
    <row r="32" spans="1:71" ht="15" x14ac:dyDescent="0.25">
      <c r="F32" s="42" t="s">
        <v>50</v>
      </c>
      <c r="G32" s="42"/>
      <c r="H32" s="2"/>
      <c r="I32" s="2"/>
      <c r="J32" s="2"/>
      <c r="K32" s="5"/>
      <c r="N32" s="5"/>
      <c r="O32" s="5"/>
      <c r="P32" s="5"/>
      <c r="Q32" s="5"/>
    </row>
    <row r="33" spans="6:17" ht="15" x14ac:dyDescent="0.25">
      <c r="F33" s="43" t="s">
        <v>51</v>
      </c>
      <c r="G33" s="43"/>
      <c r="H33" s="2"/>
      <c r="I33" s="2"/>
      <c r="J33" s="2"/>
      <c r="K33" s="5"/>
      <c r="N33" s="5"/>
      <c r="O33" s="5"/>
      <c r="P33" s="5"/>
      <c r="Q33" s="5"/>
    </row>
  </sheetData>
  <mergeCells count="37">
    <mergeCell ref="U15:U16"/>
    <mergeCell ref="V15:V16"/>
    <mergeCell ref="W15:W16"/>
    <mergeCell ref="F22:F23"/>
    <mergeCell ref="H22:K22"/>
    <mergeCell ref="Q15:S15"/>
    <mergeCell ref="L17:M17"/>
    <mergeCell ref="L19:M19"/>
    <mergeCell ref="L18:M18"/>
    <mergeCell ref="A12:D12"/>
    <mergeCell ref="F12:W12"/>
    <mergeCell ref="AH13:AZ13"/>
    <mergeCell ref="BB13:BU13"/>
    <mergeCell ref="A14:D14"/>
    <mergeCell ref="F14:H14"/>
    <mergeCell ref="K14:K16"/>
    <mergeCell ref="L14:O14"/>
    <mergeCell ref="Q14:S14"/>
    <mergeCell ref="T14:W14"/>
    <mergeCell ref="A15:A16"/>
    <mergeCell ref="B15:B16"/>
    <mergeCell ref="D15:D16"/>
    <mergeCell ref="F15:H15"/>
    <mergeCell ref="L15:O15"/>
    <mergeCell ref="T15:T16"/>
    <mergeCell ref="A6:D6"/>
    <mergeCell ref="F6:W6"/>
    <mergeCell ref="A8:D8"/>
    <mergeCell ref="F8:W8"/>
    <mergeCell ref="A10:D10"/>
    <mergeCell ref="F10:W10"/>
    <mergeCell ref="A1:D4"/>
    <mergeCell ref="F1:U4"/>
    <mergeCell ref="V1:W1"/>
    <mergeCell ref="V4:W4"/>
    <mergeCell ref="V2:X2"/>
    <mergeCell ref="V3:X3"/>
  </mergeCells>
  <conditionalFormatting sqref="J17:J18 N17:N18">
    <cfRule type="containsText" dxfId="31" priority="29" operator="containsText" text="E">
      <formula>NOT(ISERROR(SEARCH("E",J17)))</formula>
    </cfRule>
    <cfRule type="containsText" dxfId="30" priority="30" operator="containsText" text="M">
      <formula>NOT(ISERROR(SEARCH("M",J17)))</formula>
    </cfRule>
    <cfRule type="containsText" dxfId="29" priority="31" operator="containsText" text="A">
      <formula>NOT(ISERROR(SEARCH("A",J17)))</formula>
    </cfRule>
    <cfRule type="containsText" dxfId="28" priority="32" operator="containsText" text="B">
      <formula>NOT(ISERROR(SEARCH("B",J17)))</formula>
    </cfRule>
  </conditionalFormatting>
  <conditionalFormatting sqref="J19 N19">
    <cfRule type="containsText" dxfId="27" priority="21" operator="containsText" text="E">
      <formula>NOT(ISERROR(SEARCH("E",J19)))</formula>
    </cfRule>
    <cfRule type="containsText" dxfId="26" priority="22" operator="containsText" text="M">
      <formula>NOT(ISERROR(SEARCH("M",J19)))</formula>
    </cfRule>
    <cfRule type="containsText" dxfId="25" priority="23" operator="containsText" text="A">
      <formula>NOT(ISERROR(SEARCH("A",J19)))</formula>
    </cfRule>
    <cfRule type="containsText" dxfId="24" priority="24" operator="containsText" text="B">
      <formula>NOT(ISERROR(SEARCH("B",J19)))</formula>
    </cfRule>
  </conditionalFormatting>
  <conditionalFormatting sqref="N20">
    <cfRule type="containsText" dxfId="23" priority="5" operator="containsText" text="E">
      <formula>NOT(ISERROR(SEARCH("E",N20)))</formula>
    </cfRule>
    <cfRule type="containsText" dxfId="22" priority="6" operator="containsText" text="M">
      <formula>NOT(ISERROR(SEARCH("M",N20)))</formula>
    </cfRule>
    <cfRule type="containsText" dxfId="21" priority="7" operator="containsText" text="A">
      <formula>NOT(ISERROR(SEARCH("A",N20)))</formula>
    </cfRule>
    <cfRule type="containsText" dxfId="20" priority="8" operator="containsText" text="B">
      <formula>NOT(ISERROR(SEARCH("B",N20)))</formula>
    </cfRule>
  </conditionalFormatting>
  <conditionalFormatting sqref="J20">
    <cfRule type="containsText" dxfId="19" priority="1" operator="containsText" text="E">
      <formula>NOT(ISERROR(SEARCH("E",J20)))</formula>
    </cfRule>
    <cfRule type="containsText" dxfId="18" priority="2" operator="containsText" text="M">
      <formula>NOT(ISERROR(SEARCH("M",J20)))</formula>
    </cfRule>
    <cfRule type="containsText" dxfId="17" priority="3" operator="containsText" text="A">
      <formula>NOT(ISERROR(SEARCH("A",J20)))</formula>
    </cfRule>
    <cfRule type="containsText" dxfId="16" priority="4" operator="containsText" text="B">
      <formula>NOT(ISERROR(SEARCH("B",J20)))</formula>
    </cfRule>
  </conditionalFormatting>
  <dataValidations count="1">
    <dataValidation type="list" allowBlank="1" showInputMessage="1" showErrorMessage="1" promptTitle="AFECTA A:" prompt="Seleccione según a quien afecte el control" sqref="M20 L17:M19">
      <formula1>$XFD$2:$XFD$3</formula1>
    </dataValidation>
  </dataValidations>
  <pageMargins left="0.7" right="0.7" top="0.75" bottom="0.75" header="0.3" footer="0.3"/>
  <pageSetup scale="16"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34"/>
  <sheetViews>
    <sheetView showGridLines="0" view="pageBreakPreview" topLeftCell="D4" zoomScale="70" zoomScaleNormal="70" zoomScaleSheetLayoutView="70" workbookViewId="0">
      <selection activeCell="F12" sqref="F12:W12"/>
    </sheetView>
  </sheetViews>
  <sheetFormatPr baseColWidth="10" defaultColWidth="11.42578125" defaultRowHeight="14.25" x14ac:dyDescent="0.25"/>
  <cols>
    <col min="1" max="1" width="41.28515625" style="2" customWidth="1"/>
    <col min="2" max="2" width="40.42578125" style="2" customWidth="1"/>
    <col min="3" max="3" width="40.42578125" style="115" customWidth="1"/>
    <col min="4" max="4" width="40.42578125" style="2" customWidth="1"/>
    <col min="5" max="5" width="40.42578125" style="115" customWidth="1"/>
    <col min="6" max="6" width="27" style="5" customWidth="1"/>
    <col min="7" max="7" width="27" style="118" customWidth="1"/>
    <col min="8" max="8" width="19" style="5" customWidth="1"/>
    <col min="9" max="9" width="19" style="118" customWidth="1"/>
    <col min="10" max="10" width="26.7109375" style="5" customWidth="1"/>
    <col min="11" max="11" width="29.7109375" style="2" customWidth="1"/>
    <col min="12" max="12" width="17.7109375" style="5" customWidth="1"/>
    <col min="13" max="13" width="18.5703125" style="2" customWidth="1"/>
    <col min="14" max="14" width="21.7109375" style="2" customWidth="1"/>
    <col min="15" max="15" width="21.7109375" style="115" customWidth="1"/>
    <col min="16" max="16" width="19.85546875" style="2" customWidth="1"/>
    <col min="17" max="17" width="93.85546875" style="2" customWidth="1"/>
    <col min="18" max="18" width="32.85546875" style="2" customWidth="1"/>
    <col min="19" max="19" width="36.42578125" style="5" customWidth="1"/>
    <col min="20" max="20" width="58.42578125" style="2" customWidth="1"/>
    <col min="21" max="21" width="30.42578125" style="2" customWidth="1"/>
    <col min="22" max="22" width="97.140625" style="2" customWidth="1"/>
    <col min="23" max="23" width="30.42578125" style="2" customWidth="1"/>
    <col min="24" max="24" width="36" style="2" hidden="1" customWidth="1"/>
    <col min="25" max="25" width="0" style="2" hidden="1" customWidth="1"/>
    <col min="26" max="72" width="11.42578125" style="2" hidden="1" customWidth="1"/>
    <col min="73" max="73" width="11.42578125" style="2" customWidth="1"/>
    <col min="74" max="16384" width="11.42578125" style="2"/>
  </cols>
  <sheetData>
    <row r="1" spans="1:72" ht="21" customHeight="1" x14ac:dyDescent="0.25">
      <c r="A1" s="491"/>
      <c r="B1" s="491"/>
      <c r="C1" s="491"/>
      <c r="D1" s="491"/>
      <c r="E1" s="72"/>
      <c r="F1" s="492" t="s">
        <v>0</v>
      </c>
      <c r="G1" s="493"/>
      <c r="H1" s="493"/>
      <c r="I1" s="493"/>
      <c r="J1" s="493"/>
      <c r="K1" s="493"/>
      <c r="L1" s="493"/>
      <c r="M1" s="493"/>
      <c r="N1" s="493"/>
      <c r="O1" s="493"/>
      <c r="P1" s="493"/>
      <c r="Q1" s="493"/>
      <c r="R1" s="493"/>
      <c r="S1" s="493"/>
      <c r="T1" s="494"/>
      <c r="U1" s="501" t="s">
        <v>1</v>
      </c>
      <c r="V1" s="502"/>
      <c r="W1" s="1"/>
      <c r="X1" s="1"/>
    </row>
    <row r="2" spans="1:72" ht="22.5" customHeight="1" x14ac:dyDescent="0.25">
      <c r="A2" s="491"/>
      <c r="B2" s="491"/>
      <c r="C2" s="491"/>
      <c r="D2" s="491"/>
      <c r="E2" s="73"/>
      <c r="F2" s="495"/>
      <c r="G2" s="496"/>
      <c r="H2" s="496"/>
      <c r="I2" s="496"/>
      <c r="J2" s="496"/>
      <c r="K2" s="496"/>
      <c r="L2" s="496"/>
      <c r="M2" s="496"/>
      <c r="N2" s="496"/>
      <c r="O2" s="496"/>
      <c r="P2" s="496"/>
      <c r="Q2" s="496"/>
      <c r="R2" s="496"/>
      <c r="S2" s="496"/>
      <c r="T2" s="497"/>
      <c r="U2" s="501" t="s">
        <v>162</v>
      </c>
      <c r="V2" s="502"/>
      <c r="W2" s="1"/>
      <c r="X2" s="1"/>
    </row>
    <row r="3" spans="1:72" ht="21" customHeight="1" x14ac:dyDescent="0.25">
      <c r="A3" s="491"/>
      <c r="B3" s="491"/>
      <c r="C3" s="491"/>
      <c r="D3" s="491"/>
      <c r="E3" s="73"/>
      <c r="F3" s="495"/>
      <c r="G3" s="496"/>
      <c r="H3" s="496"/>
      <c r="I3" s="496"/>
      <c r="J3" s="496"/>
      <c r="K3" s="496"/>
      <c r="L3" s="496"/>
      <c r="M3" s="496"/>
      <c r="N3" s="496"/>
      <c r="O3" s="496"/>
      <c r="P3" s="496"/>
      <c r="Q3" s="496"/>
      <c r="R3" s="496"/>
      <c r="S3" s="496"/>
      <c r="T3" s="497"/>
      <c r="U3" s="501" t="s">
        <v>163</v>
      </c>
      <c r="V3" s="502"/>
      <c r="W3" s="1"/>
      <c r="X3" s="1"/>
    </row>
    <row r="4" spans="1:72" ht="20.25" customHeight="1" x14ac:dyDescent="0.25">
      <c r="A4" s="491"/>
      <c r="B4" s="491"/>
      <c r="C4" s="491"/>
      <c r="D4" s="491"/>
      <c r="E4" s="74"/>
      <c r="F4" s="498"/>
      <c r="G4" s="499"/>
      <c r="H4" s="499"/>
      <c r="I4" s="499"/>
      <c r="J4" s="499"/>
      <c r="K4" s="499"/>
      <c r="L4" s="499"/>
      <c r="M4" s="499"/>
      <c r="N4" s="499"/>
      <c r="O4" s="499"/>
      <c r="P4" s="499"/>
      <c r="Q4" s="499"/>
      <c r="R4" s="499"/>
      <c r="S4" s="499"/>
      <c r="T4" s="500"/>
      <c r="U4" s="501" t="s">
        <v>2</v>
      </c>
      <c r="V4" s="502"/>
      <c r="W4" s="1"/>
      <c r="X4" s="1"/>
    </row>
    <row r="5" spans="1:72" ht="8.25" customHeight="1" x14ac:dyDescent="0.25">
      <c r="B5" s="3"/>
      <c r="C5" s="116"/>
      <c r="D5" s="3"/>
      <c r="E5" s="116"/>
      <c r="F5" s="4"/>
      <c r="G5" s="117"/>
      <c r="H5" s="4"/>
      <c r="I5" s="117"/>
      <c r="J5" s="4"/>
      <c r="K5" s="4"/>
      <c r="L5" s="4"/>
      <c r="M5" s="4"/>
      <c r="N5" s="4"/>
      <c r="O5" s="117"/>
      <c r="P5" s="4"/>
      <c r="Q5" s="4"/>
      <c r="W5" s="6"/>
      <c r="X5" s="6"/>
    </row>
    <row r="6" spans="1:72" ht="15" x14ac:dyDescent="0.25">
      <c r="A6" s="471" t="s">
        <v>3</v>
      </c>
      <c r="B6" s="471"/>
      <c r="C6" s="471"/>
      <c r="D6" s="471"/>
      <c r="E6" s="75"/>
      <c r="F6" s="485" t="str">
        <f>[21]IdentRiesgo!B2</f>
        <v>Gestión de Control Disciplinario Interno</v>
      </c>
      <c r="G6" s="486"/>
      <c r="H6" s="486"/>
      <c r="I6" s="486"/>
      <c r="J6" s="486"/>
      <c r="K6" s="486"/>
      <c r="L6" s="486"/>
      <c r="M6" s="486"/>
      <c r="N6" s="486"/>
      <c r="O6" s="486"/>
      <c r="P6" s="486"/>
      <c r="Q6" s="486"/>
      <c r="R6" s="486"/>
      <c r="S6" s="486"/>
      <c r="T6" s="486"/>
      <c r="U6" s="486"/>
      <c r="V6" s="487"/>
      <c r="W6" s="6"/>
      <c r="X6" s="6"/>
    </row>
    <row r="7" spans="1:72" ht="6.75" customHeight="1" x14ac:dyDescent="0.25">
      <c r="B7" s="3"/>
      <c r="C7" s="116"/>
      <c r="D7" s="3"/>
      <c r="E7" s="116"/>
      <c r="F7" s="7"/>
      <c r="G7" s="121"/>
      <c r="H7" s="7"/>
      <c r="I7" s="121"/>
      <c r="J7" s="7"/>
      <c r="K7" s="7"/>
      <c r="L7" s="7"/>
      <c r="M7" s="7"/>
      <c r="N7" s="7"/>
      <c r="O7" s="121"/>
      <c r="P7" s="7"/>
      <c r="Q7" s="7"/>
      <c r="R7" s="8"/>
      <c r="S7" s="8"/>
      <c r="T7" s="8"/>
      <c r="U7" s="8"/>
      <c r="V7" s="8"/>
      <c r="W7" s="6"/>
      <c r="X7" s="6"/>
    </row>
    <row r="8" spans="1:72" ht="39.75" customHeight="1" x14ac:dyDescent="0.25">
      <c r="A8" s="471" t="s">
        <v>4</v>
      </c>
      <c r="B8" s="471"/>
      <c r="C8" s="471"/>
      <c r="D8" s="471"/>
      <c r="E8" s="75"/>
      <c r="F8" s="488" t="str">
        <f>[21]IdentRiesgo!B3</f>
        <v>Investigar y fallar sobre presuntas conductas de los servidores públicos del Instituto de conformidad con las disposiciones establecidas en el Código Disciplinario Único y normas concordantes</v>
      </c>
      <c r="G8" s="489"/>
      <c r="H8" s="489"/>
      <c r="I8" s="489"/>
      <c r="J8" s="489"/>
      <c r="K8" s="489"/>
      <c r="L8" s="489"/>
      <c r="M8" s="489"/>
      <c r="N8" s="489"/>
      <c r="O8" s="489"/>
      <c r="P8" s="489"/>
      <c r="Q8" s="489"/>
      <c r="R8" s="489"/>
      <c r="S8" s="489"/>
      <c r="T8" s="489"/>
      <c r="U8" s="489"/>
      <c r="V8" s="490"/>
      <c r="W8" s="9"/>
      <c r="X8" s="9"/>
    </row>
    <row r="9" spans="1:72" ht="6.75" customHeight="1" x14ac:dyDescent="0.25">
      <c r="B9" s="10"/>
      <c r="C9" s="119"/>
      <c r="D9" s="10"/>
      <c r="E9" s="119"/>
      <c r="F9" s="11"/>
      <c r="G9" s="122"/>
      <c r="H9" s="11"/>
      <c r="I9" s="122"/>
      <c r="J9" s="11"/>
      <c r="K9" s="11"/>
      <c r="L9" s="11"/>
      <c r="M9" s="11"/>
      <c r="N9" s="11"/>
      <c r="O9" s="122"/>
      <c r="P9" s="11"/>
      <c r="Q9" s="11"/>
      <c r="R9" s="8"/>
      <c r="S9" s="8"/>
      <c r="T9" s="8"/>
      <c r="U9" s="8"/>
      <c r="V9" s="8"/>
      <c r="W9" s="6"/>
      <c r="X9" s="6"/>
    </row>
    <row r="10" spans="1:72" ht="15" x14ac:dyDescent="0.25">
      <c r="A10" s="471" t="s">
        <v>5</v>
      </c>
      <c r="B10" s="471"/>
      <c r="C10" s="471"/>
      <c r="D10" s="471"/>
      <c r="E10" s="75"/>
      <c r="F10" s="472" t="s">
        <v>59</v>
      </c>
      <c r="G10" s="473"/>
      <c r="H10" s="473"/>
      <c r="I10" s="473"/>
      <c r="J10" s="473"/>
      <c r="K10" s="473"/>
      <c r="L10" s="473"/>
      <c r="M10" s="473"/>
      <c r="N10" s="473"/>
      <c r="O10" s="473"/>
      <c r="P10" s="473"/>
      <c r="Q10" s="473"/>
      <c r="R10" s="473"/>
      <c r="S10" s="473"/>
      <c r="T10" s="473"/>
      <c r="U10" s="473"/>
      <c r="V10" s="474"/>
      <c r="W10" s="12"/>
      <c r="X10" s="12"/>
    </row>
    <row r="11" spans="1:72" ht="5.25" customHeight="1" x14ac:dyDescent="0.25">
      <c r="B11" s="3"/>
      <c r="C11" s="116"/>
      <c r="D11" s="3"/>
      <c r="E11" s="116"/>
      <c r="F11" s="13"/>
      <c r="G11" s="141"/>
      <c r="H11" s="13"/>
      <c r="I11" s="141"/>
      <c r="J11" s="13"/>
      <c r="K11" s="13"/>
      <c r="L11" s="13"/>
      <c r="M11" s="13"/>
      <c r="N11" s="13"/>
      <c r="O11" s="141"/>
      <c r="P11" s="13"/>
      <c r="Q11" s="13"/>
      <c r="R11" s="8"/>
      <c r="S11" s="8"/>
      <c r="T11" s="8"/>
      <c r="U11" s="8"/>
      <c r="V11" s="8"/>
      <c r="W11" s="6"/>
      <c r="X11" s="6"/>
    </row>
    <row r="12" spans="1:72" ht="15" x14ac:dyDescent="0.25">
      <c r="A12" s="471" t="s">
        <v>6</v>
      </c>
      <c r="B12" s="471"/>
      <c r="C12" s="471"/>
      <c r="D12" s="471"/>
      <c r="E12" s="75"/>
      <c r="F12" s="472" t="s">
        <v>278</v>
      </c>
      <c r="G12" s="473"/>
      <c r="H12" s="473"/>
      <c r="I12" s="473"/>
      <c r="J12" s="473"/>
      <c r="K12" s="473"/>
      <c r="L12" s="473"/>
      <c r="M12" s="473"/>
      <c r="N12" s="473"/>
      <c r="O12" s="473"/>
      <c r="P12" s="473"/>
      <c r="Q12" s="473"/>
      <c r="R12" s="473"/>
      <c r="S12" s="473"/>
      <c r="T12" s="473"/>
      <c r="U12" s="473"/>
      <c r="V12" s="473"/>
      <c r="W12" s="474"/>
      <c r="X12" s="12"/>
      <c r="AA12" s="2" t="s">
        <v>7</v>
      </c>
    </row>
    <row r="13" spans="1:72" ht="15.75" thickBot="1" x14ac:dyDescent="0.3">
      <c r="B13" s="3"/>
      <c r="C13" s="116"/>
      <c r="D13" s="3"/>
      <c r="E13" s="116"/>
      <c r="F13" s="14"/>
      <c r="G13" s="123"/>
      <c r="H13" s="15"/>
      <c r="I13" s="120"/>
      <c r="J13" s="15"/>
      <c r="K13" s="7"/>
      <c r="L13" s="15"/>
      <c r="M13" s="7"/>
      <c r="N13" s="7"/>
      <c r="O13" s="121"/>
      <c r="P13" s="7"/>
      <c r="Q13" s="7"/>
      <c r="R13" s="7"/>
      <c r="S13" s="15"/>
      <c r="T13" s="7"/>
      <c r="W13" s="6"/>
      <c r="X13" s="6"/>
      <c r="AA13" s="2" t="s">
        <v>8</v>
      </c>
      <c r="AG13" s="475" t="s">
        <v>9</v>
      </c>
      <c r="AH13" s="475"/>
      <c r="AI13" s="475"/>
      <c r="AJ13" s="475"/>
      <c r="AK13" s="475"/>
      <c r="AL13" s="475"/>
      <c r="AM13" s="475"/>
      <c r="AN13" s="475"/>
      <c r="AO13" s="475"/>
      <c r="AP13" s="475"/>
      <c r="AQ13" s="475"/>
      <c r="AR13" s="475"/>
      <c r="AS13" s="475"/>
      <c r="AT13" s="475"/>
      <c r="AU13" s="475"/>
      <c r="AV13" s="475"/>
      <c r="AW13" s="475"/>
      <c r="AX13" s="475"/>
      <c r="AY13" s="475"/>
      <c r="BA13" s="475" t="s">
        <v>10</v>
      </c>
      <c r="BB13" s="475"/>
      <c r="BC13" s="475"/>
      <c r="BD13" s="475"/>
      <c r="BE13" s="475"/>
      <c r="BF13" s="475"/>
      <c r="BG13" s="475"/>
      <c r="BH13" s="475"/>
      <c r="BI13" s="475"/>
      <c r="BJ13" s="475"/>
      <c r="BK13" s="475"/>
      <c r="BL13" s="475"/>
      <c r="BM13" s="475"/>
      <c r="BN13" s="475"/>
      <c r="BO13" s="475"/>
      <c r="BP13" s="475"/>
      <c r="BQ13" s="475"/>
      <c r="BR13" s="475"/>
      <c r="BS13" s="475"/>
      <c r="BT13" s="475"/>
    </row>
    <row r="14" spans="1:72" s="17" customFormat="1" ht="15" customHeight="1" x14ac:dyDescent="0.25">
      <c r="A14" s="476" t="s">
        <v>11</v>
      </c>
      <c r="B14" s="477"/>
      <c r="C14" s="477"/>
      <c r="D14" s="478"/>
      <c r="E14" s="76"/>
      <c r="F14" s="479" t="s">
        <v>12</v>
      </c>
      <c r="G14" s="479"/>
      <c r="H14" s="479"/>
      <c r="I14" s="136"/>
      <c r="J14" s="16"/>
      <c r="K14" s="480" t="s">
        <v>13</v>
      </c>
      <c r="L14" s="476" t="s">
        <v>14</v>
      </c>
      <c r="M14" s="477"/>
      <c r="N14" s="478"/>
      <c r="O14" s="142"/>
      <c r="P14" s="483" t="s">
        <v>15</v>
      </c>
      <c r="Q14" s="483"/>
      <c r="R14" s="483"/>
      <c r="S14" s="483" t="s">
        <v>16</v>
      </c>
      <c r="T14" s="483"/>
      <c r="U14" s="483"/>
      <c r="V14" s="483"/>
    </row>
    <row r="15" spans="1:72" s="17" customFormat="1" ht="14.25" customHeight="1" x14ac:dyDescent="0.25">
      <c r="A15" s="481" t="s">
        <v>17</v>
      </c>
      <c r="B15" s="481" t="s">
        <v>18</v>
      </c>
      <c r="C15" s="143"/>
      <c r="D15" s="481" t="s">
        <v>19</v>
      </c>
      <c r="E15" s="143"/>
      <c r="F15" s="461" t="s">
        <v>20</v>
      </c>
      <c r="G15" s="461"/>
      <c r="H15" s="461"/>
      <c r="I15" s="137"/>
      <c r="J15" s="18"/>
      <c r="K15" s="481"/>
      <c r="L15" s="466" t="s">
        <v>21</v>
      </c>
      <c r="M15" s="467"/>
      <c r="N15" s="468"/>
      <c r="O15" s="144"/>
      <c r="P15" s="466" t="s">
        <v>22</v>
      </c>
      <c r="Q15" s="467"/>
      <c r="R15" s="468"/>
      <c r="S15" s="461" t="s">
        <v>23</v>
      </c>
      <c r="T15" s="461" t="s">
        <v>24</v>
      </c>
      <c r="U15" s="461" t="s">
        <v>5</v>
      </c>
      <c r="V15" s="461" t="s">
        <v>25</v>
      </c>
    </row>
    <row r="16" spans="1:72" s="17" customFormat="1" ht="63" customHeight="1" x14ac:dyDescent="0.25">
      <c r="A16" s="484"/>
      <c r="B16" s="484"/>
      <c r="C16" s="138" t="s">
        <v>77</v>
      </c>
      <c r="D16" s="484"/>
      <c r="E16" s="138" t="s">
        <v>78</v>
      </c>
      <c r="F16" s="18" t="s">
        <v>26</v>
      </c>
      <c r="G16" s="137" t="s">
        <v>77</v>
      </c>
      <c r="H16" s="18" t="s">
        <v>10</v>
      </c>
      <c r="I16" s="137" t="s">
        <v>77</v>
      </c>
      <c r="J16" s="18" t="s">
        <v>27</v>
      </c>
      <c r="K16" s="482"/>
      <c r="L16" s="18" t="s">
        <v>26</v>
      </c>
      <c r="M16" s="18" t="s">
        <v>10</v>
      </c>
      <c r="N16" s="20" t="s">
        <v>27</v>
      </c>
      <c r="O16" s="138" t="s">
        <v>81</v>
      </c>
      <c r="P16" s="18" t="s">
        <v>28</v>
      </c>
      <c r="Q16" s="18" t="s">
        <v>24</v>
      </c>
      <c r="R16" s="18" t="s">
        <v>29</v>
      </c>
      <c r="S16" s="461"/>
      <c r="T16" s="461"/>
      <c r="U16" s="461"/>
      <c r="V16" s="461"/>
    </row>
    <row r="17" spans="1:70" ht="2.25" customHeight="1" x14ac:dyDescent="0.25">
      <c r="A17" s="261"/>
      <c r="B17" s="261"/>
      <c r="C17" s="261"/>
      <c r="D17" s="261"/>
      <c r="E17" s="255"/>
      <c r="F17" s="256"/>
      <c r="G17" s="256"/>
      <c r="H17" s="257"/>
      <c r="I17" s="257"/>
      <c r="J17" s="157" t="str">
        <f>CONCATENATE(X17,Y17,Z17,AA17,AB17)</f>
        <v xml:space="preserve">     </v>
      </c>
      <c r="K17" s="152"/>
      <c r="L17" s="514"/>
      <c r="M17" s="515"/>
      <c r="N17" s="157" t="str">
        <f>CONCATENATE(AE17,AF17,AG17,AH17,AI17,AK17,AL17,AM17,AN17,AO17,AR17,AS17,AT17,AU17,AV17,AZ17,BA17,BB17,BC17,BD17,BG17,BH17,BI17,BJ17,BK17,BN17,BO17,BP17,BQ17,BR17)</f>
        <v xml:space="preserve">                              </v>
      </c>
      <c r="O17" s="157"/>
      <c r="P17" s="260"/>
      <c r="Q17" s="263"/>
      <c r="R17" s="260"/>
      <c r="S17" s="262"/>
      <c r="T17" s="218"/>
      <c r="U17" s="114"/>
      <c r="V17" s="125" t="s">
        <v>131</v>
      </c>
      <c r="W17" s="115"/>
      <c r="X17" s="26" t="str">
        <f>IF(AND(F17=1,H17=5),$H$25,IF(AND(F17=1,H17=10),$J$25,IF(AND(F17=1,H17=20),$K$25," ")))</f>
        <v xml:space="preserve"> </v>
      </c>
      <c r="Y17" s="26" t="str">
        <f>IF(AND(F17=2,H17=5),$H$26,IF(AND(F17=2,H17=10),$J$26,IF(AND(F17=2,H17=20),$K$26," ")))</f>
        <v xml:space="preserve"> </v>
      </c>
      <c r="Z17" s="26" t="str">
        <f>IF(AND(F17=3,H17=5),$H$27,IF(AND(F17=3,H17=10),$J$27,IF(AND(F17=3,H17=20),$K$27," ")))</f>
        <v xml:space="preserve"> </v>
      </c>
      <c r="AA17" s="26" t="str">
        <f>IF(AND(F17=4,H17=5),$H$28,IF(AND(F17=4,H17=10),$J$28,IF(AND(F17=4,H17=20),$K$28," ")))</f>
        <v xml:space="preserve"> </v>
      </c>
      <c r="AB17" s="26" t="str">
        <f>IF(AND(F17=5,H17=5),$H$29,IF(AND(F17=5,H17=10),$J$29,IF(AND(F17=5,H17=20),$K$29," ")))</f>
        <v xml:space="preserve"> </v>
      </c>
      <c r="AD17" s="27" t="s">
        <v>31</v>
      </c>
      <c r="AE17" s="26" t="str">
        <f>IF(AND(L17&gt;0,[21]EvaluaciónRiesgoCorrupR1!$F$11&gt;75,F17=1,H17=5),$H$25,IF(AND(L17&gt;0,[21]EvaluaciónRiesgoCorrupR1!$F$11&gt;75,F17=1,H17=10),$J$25,IF(AND(L17&gt;0,[21]EvaluaciónRiesgoCorrupR1!$F$11&gt;75,F17=1,H17=20),$K$25," ")))</f>
        <v xml:space="preserve"> </v>
      </c>
      <c r="AF17" s="26" t="str">
        <f>IF(AND(L17&gt;0,[21]EvaluaciónRiesgoCorrupR1!$F$11&gt;75,F17=2,H17=5),$H$25,IF(AND(L17&gt;0,[21]EvaluaciónRiesgoCorrupR1!$F$11&gt;75,F17=2,H17=10),$J$25,IF(AND(L17&gt;0,[21]EvaluaciónRiesgoCorrupR1!$F$11&gt;75,F17=2,H17=20),$K$25," ")))</f>
        <v xml:space="preserve"> </v>
      </c>
      <c r="AG17" s="26" t="str">
        <f>IF(AND(L17&gt;0,[21]EvaluaciónRiesgoCorrupR1!$F$11&gt;75,F17=3,H17=5),$H$25,IF(AND(L17&gt;0,[21]EvaluaciónRiesgoCorrupR1!$F$11&gt;75,F17=3,H17=10),$J$25,IF(AND(L17&gt;0,[21]EvaluaciónRiesgoCorrupR1!$F$11&gt;75,F17=3,H17=20),$K$25," ")))</f>
        <v xml:space="preserve"> </v>
      </c>
      <c r="AH17" s="26" t="str">
        <f>IF(AND(L17&gt;0,[21]EvaluaciónRiesgoCorrupR1!$F$11&gt;75,F17=4,H17=5),$H$26,IF(AND(L17&gt;0,[21]EvaluaciónRiesgoCorrupR1!$F$11&gt;75,F17=4,H17=10),$J$26,IF(AND(L17&gt;0,[21]EvaluaciónRiesgoCorrupR1!$F$11&gt;75,F17=4,H17=20),$K$26," ")))</f>
        <v xml:space="preserve"> </v>
      </c>
      <c r="AI17" s="26" t="str">
        <f>IF(AND(L17&gt;0,[21]EvaluaciónRiesgoCorrupR1!$F$11&gt;75,F17=5,H17=5),$H$27,IF(AND(L17&gt;0,[21]EvaluaciónRiesgoCorrupR1!$F$11&gt;75,F17=5,H17=10),$J$27,IF(AND(L17&gt;0,[21]EvaluaciónRiesgoCorrupR1!$F$11&gt;75,F17=5,H17=20),$K$27," ")))</f>
        <v xml:space="preserve"> </v>
      </c>
      <c r="AJ17" s="27" t="s">
        <v>32</v>
      </c>
      <c r="AK17" s="26" t="str">
        <f>IF(AND(L17&gt;0,[21]EvaluaciónRiesgoCorrupR1!$F$11&gt;50,[21]EvaluaciónRiesgoCorrupR1!$F$11&lt;76,F17=1,H17=5),$H$25,IF(AND(L17&gt;0,[21]EvaluaciónRiesgoCorrupR1!$F$11&gt;50,[21]EvaluaciónRiesgoCorrupR1!$F$11&lt;76,F17=1,H17=10),$J$25,IF(AND(L17&gt;0,[21]EvaluaciónRiesgoCorrupR1!$F$11&gt;50,[21]EvaluaciónRiesgoCorrupR1!$F$11&lt;76,F17=1,H17=20),$K$25," ")))</f>
        <v xml:space="preserve"> </v>
      </c>
      <c r="AL17" s="26" t="str">
        <f>IF(AND(L17&gt;0,[21]EvaluaciónRiesgoCorrupR1!$F$11&gt;50,[21]EvaluaciónRiesgoCorrupR1!$F$11&lt;76,F17=2,H17=5),$H$25,IF(AND(L17&gt;0,[21]EvaluaciónRiesgoCorrupR1!$F$11&gt;50,[21]EvaluaciónRiesgoCorrupR1!$F$11&lt;76,F17=2,H17=10),$J$25,IF(AND(L17&gt;0,[21]EvaluaciónRiesgoCorrupR1!$F$11&gt;50,[21]EvaluaciónRiesgoCorrupR1!$F$11&lt;76,F17=2,H17=20),$K$25," ")))</f>
        <v xml:space="preserve"> </v>
      </c>
      <c r="AM17" s="26" t="str">
        <f>IF(AND(L17&gt;0,[21]EvaluaciónRiesgoCorrupR1!$F$11&gt;50,[21]EvaluaciónRiesgoCorrupR1!$F$11&lt;76,F17=3,H17=5),$H$26,IF(AND(L17&gt;0,[21]EvaluaciónRiesgoCorrupR1!$F$11&gt;50,[21]EvaluaciónRiesgoCorrupR1!$F$11&lt;76,F17=3,H17=10),$J$26,IF(AND(L17&gt;0,[21]EvaluaciónRiesgoCorrupR1!$F$11&gt;50,[21]EvaluaciónRiesgoCorrupR1!$F$11&lt;76,F17=3,H17=20),$K$26," ")))</f>
        <v xml:space="preserve"> </v>
      </c>
      <c r="AN17" s="26" t="str">
        <f>IF(AND(L17&gt;0,[21]EvaluaciónRiesgoCorrupR1!$F$11&gt;50,[21]EvaluaciónRiesgoCorrupR1!$F$11&lt;76,F17=4,H17=5),$H$27,IF(AND(L17&gt;0,[21]EvaluaciónRiesgoCorrupR1!$F$11&gt;50,[21]EvaluaciónRiesgoCorrupR1!$F$11&lt;76,F17=4,H17=10),$J$27,IF(AND(L17&gt;0,[21]EvaluaciónRiesgoCorrupR1!$F$11&gt;50,[21]EvaluaciónRiesgoCorrupR1!$F$11&lt;76,F17=4,H17=20),$K$27," ")))</f>
        <v xml:space="preserve"> </v>
      </c>
      <c r="AO17" s="26" t="str">
        <f>IF(AND(L17&gt;0,[21]EvaluaciónRiesgoCorrupR1!$F$11&gt;50,[21]EvaluaciónRiesgoCorrupR1!$F$11&lt;76,F17=5,H17=5),$H$28,IF(AND(L17&gt;0,[21]EvaluaciónRiesgoCorrupR1!$F$11&gt;50,[21]EvaluaciónRiesgoCorrupR1!$F$11&lt;76,F17=5,H17=10),$J$28,IF(AND(L17&gt;0,[21]EvaluaciónRiesgoCorrupR1!$F$11&gt;50,[21]EvaluaciónRiesgoCorrupR1!$F$11&lt;76,F17=5,H17=20),$K$28," ")))</f>
        <v xml:space="preserve"> </v>
      </c>
      <c r="AQ17" s="27" t="s">
        <v>33</v>
      </c>
      <c r="AR17" s="26" t="str">
        <f>IF(AND(L17&gt;0,[21]EvaluaciónRiesgoCorrupR1!$F$11&lt;51,F17=1,H17=5),$H$25,IF(AND(L17&gt;0,[21]EvaluaciónRiesgoCorrupR1!$F$11&lt;51,F17=1,H17=10),$J$25,IF(AND(L17&gt;0,[21]EvaluaciónRiesgoCorrupR1!$F$11&lt;51,F17=1,H17=20),K$25," ")))</f>
        <v xml:space="preserve"> </v>
      </c>
      <c r="AS17" s="26" t="str">
        <f>IF(AND(L17&gt;0,[21]EvaluaciónRiesgoCorrupR1!$F$11&lt;51,F17=2,H17=5),$H$26,IF(AND(L17&gt;0,[21]EvaluaciónRiesgoCorrupR1!$F$11&lt;51,F17=2,H17=10),$J$26,IF(AND(L17&gt;0,[21]EvaluaciónRiesgoCorrupR1!$F$11&lt;51,F17=2,H17=20),K$26," ")))</f>
        <v xml:space="preserve"> </v>
      </c>
      <c r="AT17" s="26" t="str">
        <f>IF(AND(L17&gt;0,[21]EvaluaciónRiesgoCorrupR1!$F$11&lt;51,F17=3,H17=5),$H$27,IF(AND(L17&gt;0,[21]EvaluaciónRiesgoCorrupR1!$F$11&lt;51,F17=3,H17=10),$J$27,IF(AND(L17&gt;0,[21]EvaluaciónRiesgoCorrupR1!$F$11&lt;51,F17=3,H17=20),K$27," ")))</f>
        <v xml:space="preserve"> </v>
      </c>
      <c r="AU17" s="26" t="str">
        <f>IF(AND(L17&gt;0,[21]EvaluaciónRiesgoCorrupR1!$F$11&lt;51,F17=4,H17=5),$H$28,IF(AND(L17&gt;0,[21]EvaluaciónRiesgoCorrupR1!$F$11&lt;51,F17=4,H17=10),$J$28,IF(AND(L17&gt;0,[21]EvaluaciónRiesgoCorrupR1!$F$11&lt;51,F17=4,H17=20),K$28," ")))</f>
        <v xml:space="preserve"> </v>
      </c>
      <c r="AV17" s="26" t="str">
        <f>IF(AND(L17&gt;0,[21]EvaluaciónRiesgoCorrupR1!$F$11&lt;51,F17=5,H17=5),$H$29,IF(AND(L17&gt;0,[21]EvaluaciónRiesgoCorrupR1!$F$11&lt;51,F17=5,H17=10),$J$29,IF(AND(L17&gt;0,[21]EvaluaciónRiesgoCorrupR1!$F$11&lt;51,F17=5,H17=20),K$29," ")))</f>
        <v xml:space="preserve"> </v>
      </c>
      <c r="AY17" s="27" t="s">
        <v>31</v>
      </c>
      <c r="AZ17" s="26" t="str">
        <f>IF(AND(M17&gt;0,[21]EvaluaciónRiesgoCorrupR1!$F$11&gt;75,F17=1,H17=5),$H$25,IF(AND(M17&gt;0,[21]EvaluaciónRiesgoCorrupR1!$F$11&gt;75,F17=1,H17=10),$H$25,IF(AND(M17&gt;0,[21]EvaluaciónRiesgoCorrupR1!$F$11&gt;75,F17=1,H17=20),$H$25," ")))</f>
        <v xml:space="preserve"> </v>
      </c>
      <c r="BA17" s="26" t="str">
        <f>IF(AND(M17&gt;0,[21]EvaluaciónRiesgoCorrupR1!$F$11&gt;75,F17=2,H17=5),$H$26,IF(AND(M17&gt;0,[21]EvaluaciónRiesgoCorrupR1!$F$11&gt;75,F17=2,H17=10),$H$26,IF(AND(M17&gt;0,[21]EvaluaciónRiesgoCorrupR1!$F$11&gt;75,F17=2,H17=20),$H$26," ")))</f>
        <v xml:space="preserve"> </v>
      </c>
      <c r="BB17" s="26" t="str">
        <f>IF(AND(M17&gt;0,[21]EvaluaciónRiesgoCorrupR1!$F$11&gt;75,F17=3,H17=5),$H$27,IF(AND(M17&gt;0,[21]EvaluaciónRiesgoCorrupR1!$F$11&gt;75,F17=3,H17=10),$H$27,IF(AND(M17&gt;0,[21]EvaluaciónRiesgoCorrupR1!$F$11&gt;75,F17=3,H17=20),$H$27," ")))</f>
        <v xml:space="preserve"> </v>
      </c>
      <c r="BC17" s="26" t="str">
        <f>IF(AND(M17&gt;0,[21]EvaluaciónRiesgoCorrupR1!$F$11&gt;75,F17=4,H17=5),$H$28,IF(AND(M17&gt;0,[21]EvaluaciónRiesgoCorrupR1!$F$11&gt;75,F17=4,H17=10),$H$28,IF(AND(M17&gt;0,[21]EvaluaciónRiesgoCorrupR1!$F$11&gt;75,F17=4,H17=20),$H$28," ")))</f>
        <v xml:space="preserve"> </v>
      </c>
      <c r="BD17" s="26" t="str">
        <f>IF(AND(M17&gt;0,[21]EvaluaciónRiesgoCorrupR1!$F$11&gt;75,F17=5,H17=5),$H$29,IF(AND(M17&gt;0,[21]EvaluaciónRiesgoCorrupR1!$F$11&gt;75,F17=5,H17=10),$H$29,IF(AND(M17&gt;0,[21]EvaluaciónRiesgoCorrupR1!$F$11&gt;75,F17=5,H17=20),$H$29," ")))</f>
        <v xml:space="preserve"> </v>
      </c>
      <c r="BF17" s="27" t="s">
        <v>32</v>
      </c>
      <c r="BG17" s="26" t="str">
        <f>IF(AND(M17&gt;0,[21]EvaluaciónRiesgoCorrupR1!$F$11&gt;50,[21]EvaluaciónRiesgoCorrupR1!$F$11&lt;76,F17=1,H17=5),$H$25,IF(AND(M17&gt;0,[21]EvaluaciónRiesgoCorrupR1!$F$11&gt;50,[21]EvaluaciónRiesgoCorrupR1!$F$11&lt;76,F17=1,H17=10),$H$25,IF(AND(M17&gt;0,[21]EvaluaciónRiesgoCorrupR1!$F$11&gt;50,[21]EvaluaciónRiesgoCorrupR1!$F$11&lt;76,F17=1,H17=20),$J$25," ")))</f>
        <v xml:space="preserve"> </v>
      </c>
      <c r="BH17" s="26" t="str">
        <f>IF(AND(M17&gt;0,[21]EvaluaciónRiesgoCorrupR1!$F$11&gt;50,[21]EvaluaciónRiesgoCorrupR1!$F$11&lt;76,F17=2,H17=5),$H$26,IF(AND(M17&gt;0,[21]EvaluaciónRiesgoCorrupR1!$F$11&gt;50,[21]EvaluaciónRiesgoCorrupR1!$F$11&lt;76,F17=2,H17=10),$H$26,IF(AND(M17&gt;0,[21]EvaluaciónRiesgoCorrupR1!$F$11&gt;50,[21]EvaluaciónRiesgoCorrupR1!$F$11&lt;76,F17=2,H17=20),$J$26," ")))</f>
        <v xml:space="preserve"> </v>
      </c>
      <c r="BI17" s="26" t="str">
        <f>IF(AND(M17&gt;0,[21]EvaluaciónRiesgoCorrupR1!$F$11&gt;50,[21]EvaluaciónRiesgoCorrupR1!$F$11&lt;76,F17=3,H17=5),$H$27,IF(AND(M17&gt;0,[21]EvaluaciónRiesgoCorrupR1!$F$11&gt;50,[21]EvaluaciónRiesgoCorrupR1!$F$11&lt;76,F17=3,H17=10),$H$27,IF(AND(M17&gt;0,[21]EvaluaciónRiesgoCorrupR1!$F$11&gt;50,[21]EvaluaciónRiesgoCorrupR1!$F$11&lt;76,F17=3,H17=20),$J$27," ")))</f>
        <v xml:space="preserve"> </v>
      </c>
      <c r="BJ17" s="26" t="str">
        <f>IF(AND(M17&gt;0,[21]EvaluaciónRiesgoCorrupR1!$F$11&gt;50,[21]EvaluaciónRiesgoCorrupR1!$F$11&lt;76,F17=4,H17=5),$H$28,IF(AND(M17&gt;0,[21]EvaluaciónRiesgoCorrupR1!$F$11&gt;50,[21]EvaluaciónRiesgoCorrupR1!$F$11&lt;76,F17=4,H17=10),$H$28,IF(AND(M17&gt;0,[21]EvaluaciónRiesgoCorrupR1!$F$11&gt;50,[21]EvaluaciónRiesgoCorrupR1!$F$11&lt;76,F17=4,H17=20),$J$28," ")))</f>
        <v xml:space="preserve"> </v>
      </c>
      <c r="BK17" s="26" t="str">
        <f>IF(AND(M17&gt;0,[21]EvaluaciónRiesgoCorrupR1!$F$11&gt;50,[21]EvaluaciónRiesgoCorrupR1!$F$11&lt;76,F17=5,H17=5),$H$29,IF(AND(M17&gt;0,[21]EvaluaciónRiesgoCorrupR1!$F$11&gt;50,[21]EvaluaciónRiesgoCorrupR1!$F$11&lt;76,F17=5,H17=10),$H$29,IF(AND(M17&gt;0,[21]EvaluaciónRiesgoCorrupR1!$F$11&gt;50,[21]EvaluaciónRiesgoCorrupR1!$F$11&lt;76,F17=5,H17=20),$J$29," ")))</f>
        <v xml:space="preserve"> </v>
      </c>
      <c r="BM17" s="27" t="s">
        <v>33</v>
      </c>
      <c r="BN17" s="26" t="str">
        <f>IF(AND(M17&gt;0,[21]EvaluaciónRiesgoCorrupR1!$F$11&lt;51,F17=1,H17=5),$H$25,IF(AND(M17&gt;0,[21]EvaluaciónRiesgoCorrupR1!$F$11&lt;51,F17=1,H17=10),$J$25,IF(AND(M17&gt;0,[21]EvaluaciónRiesgoCorrupR1!$F$11&lt;51,F17=1,H17=20),$K$25," ")))</f>
        <v xml:space="preserve"> </v>
      </c>
      <c r="BO17" s="26" t="str">
        <f>IF(AND(M17&gt;0,[21]EvaluaciónRiesgoCorrupR1!$F$11&lt;51,F17=2,H17=5),$H$26,IF(AND(M17&gt;0,[21]EvaluaciónRiesgoCorrupR1!$F$11&lt;51,F17=2,H17=10),$J$26,IF(AND(M17&gt;0,[21]EvaluaciónRiesgoCorrupR1!$F$11&lt;51,F17=2,H17=20),$K$26," ")))</f>
        <v xml:space="preserve"> </v>
      </c>
      <c r="BP17" s="26" t="str">
        <f>IF(AND(M17&gt;0,[21]EvaluaciónRiesgoCorrupR1!$F$11&lt;51,F17=3,H17=5),$H$27,IF(AND(M17&gt;0,[21]EvaluaciónRiesgoCorrupR1!$F$11&lt;51,F17=3,H17=10),$J$27,IF(AND(M17&gt;0,[21]EvaluaciónRiesgoCorrupR1!$F$11&lt;51,F17=3,H17=20),$K$27," ")))</f>
        <v xml:space="preserve"> </v>
      </c>
      <c r="BQ17" s="26" t="str">
        <f>IF(AND(M17&gt;0,[21]EvaluaciónRiesgoCorrupR1!$F$11&lt;51,F17=4,H17=5),$H$28,IF(AND(M17&gt;0,[21]EvaluaciónRiesgoCorrupR1!$F$11&lt;51,F17=4,H17=10),$J$28,IF(AND(M17&gt;0,[21]EvaluaciónRiesgoCorrupR1!$F$11&lt;51,F17=4,H17=20),$K$28," ")))</f>
        <v xml:space="preserve"> </v>
      </c>
      <c r="BR17" s="26" t="str">
        <f>IF(AND(M17&gt;0,[21]EvaluaciónRiesgoCorrupR1!$F$11&lt;51,F17=5,H17=5),$H$29,IF(AND(M17&gt;0,[21]EvaluaciónRiesgoCorrupR1!$F$11&lt;51,F17=5,H17=10),$J$29,IF(AND(M17&gt;0,[21]EvaluaciónRiesgoCorrupR1!$F$11&lt;51,F17=5,H17=20),$K$29," ")))</f>
        <v xml:space="preserve"> </v>
      </c>
    </row>
    <row r="18" spans="1:70" ht="346.5" customHeight="1" x14ac:dyDescent="0.25">
      <c r="A18" s="261" t="str">
        <f>IF(ISTEXT([22]IdentificaciónRiesgos!$B7),[22]IdentificaciónRiesgos!$A7,"")</f>
        <v xml:space="preserve">Falta de ética y profesionalismo del funcionario instructor. </v>
      </c>
      <c r="B18" s="261" t="str">
        <f>IF(ISTEXT([22]IdentificaciónRiesgos!$B7),[22]IdentificaciónRiesgos!$B7,"")</f>
        <v xml:space="preserve">Proyectar fallo contrario a las evidencias  que constituyen el acervo probatorio recaudado para favorecer al indagado o al investigado. </v>
      </c>
      <c r="C18" s="261" t="str">
        <f>IF(ISTEXT([22]IdentificaciónRiesgos!$B7),[22]IdentificaciónRiesgos!$C7,"")</f>
        <v xml:space="preserve">Proyectar fallo en forma contraria a las pruebas que obran dentro de cada proceso con el fin de favorecer al indagado o al investigado </v>
      </c>
      <c r="D18" s="261" t="str">
        <f>IF(ISTEXT([22]IdentificaciónRiesgos!$B7),[22]IdentificaciónRiesgos!$D7,"")</f>
        <v xml:space="preserve"> Causal de Nulidad (Artículo 143 No. 3 del CDU). Pérdida de credibilidad del grupo y actuación disciplinaria por parte de la PGN. </v>
      </c>
      <c r="E18" s="255" t="str">
        <f>IF(ISTEXT([22]IdentificaciónRiesgos!$B7),VLOOKUP($C18,[22]DefiniciónRiesgos!$A$4:$F$9,6,FALSE),"")</f>
        <v>RIESGO DE CORRUPCIÓN</v>
      </c>
      <c r="F18" s="256">
        <f>IF(ISTEXT([22]IdentificaciónRiesgos!$B7),
IF(EXACT([22]AnálisisRiesgos!$B10,"X"),5,
IF(EXACT([22]AnálisisRiesgos!$C10,"X"),4,
IF(EXACT([22]AnálisisRiesgos!$D10,"X"),3,
IF(EXACT([22]AnálisisRiesgos!$E10,"X"),2,
IF(EXACT([22]AnálisisRiesgos!$F10,"X"),1,""))))),"")</f>
        <v>1</v>
      </c>
      <c r="G18" s="256" t="str">
        <f t="shared" ref="G18" si="0">IF(EXACT($F18,5),"Casí Seguro",
IF(EXACT($F18,4),"Probable",
IF(EXACT($F18,3),"Posible",
IF(EXACT($F18,2),"Improbable","Rara Vez"))))</f>
        <v>Rara Vez</v>
      </c>
      <c r="H18" s="257">
        <f>IF(EXACT($B18,""),"",
IF(EXACT($E18,"RIESGO DE GESTIÓN"),IF(EXACT([22]AnálisisRiesgos!$G10,"X"),5,
IF(EXACT([22]AnálisisRiesgos!$H10,"X"),4,
IF(EXACT([22]AnálisisRiesgos!$I10,"X"),3,
IF(EXACT([22]AnálisisRiesgos!$J10,"X"),2,1)))),
IF(EXACT([22]AnálisisRiesgos!$L10,"X"),20,
IF(EXACT([22]AnálisisRiesgos!$M10,"X"),10,5
))))</f>
        <v>10</v>
      </c>
      <c r="I18" s="257" t="str">
        <f t="shared" ref="I18" si="1">IF(EXACT($E18,"RIESGO DE GESTIÓN"),
IF(EXACT($H18,1),"Insignificante",
IF(EXACT($H18,2),"Menor",
IF(EXACT($H18,3),"Moderado",
IF(EXACT($H18,4),"Mayor","Catastrófico")))),
IF(EXACT($H18,5),"Moderado",
IF(EXACT($H18,10),"Mayor","Catastrófico")))</f>
        <v>Mayor</v>
      </c>
      <c r="J18" s="157" t="str">
        <f>CONCATENATE(X18,Y18,Z18,AA18,AB18)</f>
        <v xml:space="preserve">B    </v>
      </c>
      <c r="K18" s="152" t="s">
        <v>186</v>
      </c>
      <c r="L18" s="506" t="s">
        <v>10</v>
      </c>
      <c r="M18" s="507"/>
      <c r="N18" s="157" t="str">
        <f>CONCATENATE(AE18,AF18,AG18,AH18,AI18,AK18,AL18,AM18,AN18,AO18,AR18,AS18,AT18,AU18,AV18,AZ18,BA18,BB18,BC18,BD18,BG18,BH18,BI18,BJ18,BK18,BN18,BO18,BP18,BQ18,BR18)</f>
        <v xml:space="preserve">B                             </v>
      </c>
      <c r="O18" s="157"/>
      <c r="P18" s="444" t="s">
        <v>233</v>
      </c>
      <c r="Q18" s="263" t="s">
        <v>234</v>
      </c>
      <c r="R18" s="444" t="s">
        <v>235</v>
      </c>
      <c r="S18" s="445"/>
      <c r="T18" s="449"/>
      <c r="U18" s="444" t="s">
        <v>275</v>
      </c>
      <c r="V18" s="444" t="s">
        <v>131</v>
      </c>
      <c r="X18" s="26" t="str">
        <f>IF(AND(F18=1,H18=5),$H$25,IF(AND(F18=1,H18=10),$J$25,IF(AND(F18=1,H18=20),$K$25," ")))</f>
        <v>B</v>
      </c>
      <c r="Y18" s="26" t="str">
        <f>IF(AND(F18=2,H18=5),$H$26,IF(AND(F18=2,H18=10),$J$26,IF(AND(F18=2,H18=20),$K$26," ")))</f>
        <v xml:space="preserve"> </v>
      </c>
      <c r="Z18" s="26" t="str">
        <f>IF(AND(F18=3,H18=5),$H$27,IF(AND(F18=3,H18=10),$J$27,IF(AND(F18=3,H18=20),$K$27," ")))</f>
        <v xml:space="preserve"> </v>
      </c>
      <c r="AA18" s="26" t="str">
        <f>IF(AND(F18=4,H18=5),$H$28,IF(AND(F18=4,H18=10),$J$28,IF(AND(F18=4,H18=20),$K$28," ")))</f>
        <v xml:space="preserve"> </v>
      </c>
      <c r="AB18" s="26" t="str">
        <f>IF(AND(F18=5,H18=5),$H$29,IF(AND(F18=5,H18=10),$J$29,IF(AND(F18=5,H18=20),$K$29," ")))</f>
        <v xml:space="preserve"> </v>
      </c>
      <c r="AE18" s="26" t="str">
        <f>IF(AND(L18&gt;0,[21]EvaluaciónRiesgoCorrupR1!$F$11&gt;75,F18=1,H18=5),$H$25,IF(AND(L18&gt;0,[21]EvaluaciónRiesgoCorrupR1!$F$11&gt;75,F18=1,H18=10),$J$25,IF(AND(L18&gt;0,[21]EvaluaciónRiesgoCorrupR1!$F$11&gt;75,F18=1,H18=20),$K$25," ")))</f>
        <v>B</v>
      </c>
      <c r="AF18" s="26" t="str">
        <f>IF(AND(L18&gt;0,[21]EvaluaciónRiesgoCorrupR1!$F$11&gt;75,F18=2,H18=5),$H$25,IF(AND(L18&gt;0,[21]EvaluaciónRiesgoCorrupR1!$F$11&gt;75,F18=2,H18=10),$J$25,IF(AND(L18&gt;0,[21]EvaluaciónRiesgoCorrupR1!$F$11&gt;75,F18=2,H18=20),$K$25," ")))</f>
        <v xml:space="preserve"> </v>
      </c>
      <c r="AG18" s="26" t="str">
        <f>IF(AND(L18&gt;0,[21]EvaluaciónRiesgoCorrupR1!$F$11&gt;75,F18=3,H18=5),$H$25,IF(AND(L18&gt;0,[21]EvaluaciónRiesgoCorrupR1!$F$11&gt;75,F18=3,H18=10),$J$25,IF(AND(L18&gt;0,[21]EvaluaciónRiesgoCorrupR1!$F$11&gt;75,F18=3,H18=20),$K$25," ")))</f>
        <v xml:space="preserve"> </v>
      </c>
      <c r="AH18" s="26" t="str">
        <f>IF(AND(L18&gt;0,[21]EvaluaciónRiesgoCorrupR1!$F$11&gt;75,F18=4,H18=5),$H$26,IF(AND(L18&gt;0,[21]EvaluaciónRiesgoCorrupR1!$F$11&gt;75,F18=4,H18=10),$J$26,IF(AND(L18&gt;0,[21]EvaluaciónRiesgoCorrupR1!$F$11&gt;75,F18=4,H18=20),$K$26," ")))</f>
        <v xml:space="preserve"> </v>
      </c>
      <c r="AI18" s="26" t="str">
        <f>IF(AND(L18&gt;0,[21]EvaluaciónRiesgoCorrupR1!$F$11&gt;75,F18=5,H18=5),$H$27,IF(AND(L18&gt;0,[21]EvaluaciónRiesgoCorrupR1!$F$11&gt;75,F18=5,H18=10),$J$27,IF(AND(L18&gt;0,[21]EvaluaciónRiesgoCorrupR1!$F$11&gt;75,F18=5,H18=20),$K$27," ")))</f>
        <v xml:space="preserve"> </v>
      </c>
      <c r="AK18" s="26" t="str">
        <f>IF(AND(L18&gt;0,[21]EvaluaciónRiesgoCorrupR1!$F$11&gt;50,[21]EvaluaciónRiesgoCorrupR1!$F$11&lt;76,F18=1,H18=5),$H$25,IF(AND(L18&gt;0,[21]EvaluaciónRiesgoCorrupR1!$F$11&gt;50,[21]EvaluaciónRiesgoCorrupR1!$F$11&lt;76,F18=1,H18=10),$J$25,IF(AND(L18&gt;0,[21]EvaluaciónRiesgoCorrupR1!$F$11&gt;50,[21]EvaluaciónRiesgoCorrupR1!$F$11&lt;76,F18=1,H18=20),$K$25," ")))</f>
        <v xml:space="preserve"> </v>
      </c>
      <c r="AL18" s="26" t="str">
        <f>IF(AND(L18&gt;0,[21]EvaluaciónRiesgoCorrupR1!$F$11&gt;50,[21]EvaluaciónRiesgoCorrupR1!$F$11&lt;76,F18=2,H18=5),$H$25,IF(AND(L18&gt;0,[21]EvaluaciónRiesgoCorrupR1!$F$11&gt;50,[21]EvaluaciónRiesgoCorrupR1!$F$11&lt;76,F18=2,H18=10),$J$25,IF(AND(L18&gt;0,[21]EvaluaciónRiesgoCorrupR1!$F$11&gt;50,[21]EvaluaciónRiesgoCorrupR1!$F$11&lt;76,F18=2,H18=20),$K$25," ")))</f>
        <v xml:space="preserve"> </v>
      </c>
      <c r="AM18" s="26" t="str">
        <f>IF(AND(L18&gt;0,[21]EvaluaciónRiesgoCorrupR1!$F$11&gt;50,[21]EvaluaciónRiesgoCorrupR1!$F$11&lt;76,F18=3,H18=5),$H$26,IF(AND(L18&gt;0,[21]EvaluaciónRiesgoCorrupR1!$F$11&gt;50,[21]EvaluaciónRiesgoCorrupR1!$F$11&lt;76,F18=3,H18=10),$J$26,IF(AND(L18&gt;0,[21]EvaluaciónRiesgoCorrupR1!$F$11&gt;50,[21]EvaluaciónRiesgoCorrupR1!$F$11&lt;76,F18=3,H18=20),$K$26," ")))</f>
        <v xml:space="preserve"> </v>
      </c>
      <c r="AN18" s="26" t="str">
        <f>IF(AND(L18&gt;0,[21]EvaluaciónRiesgoCorrupR1!$F$11&gt;50,[21]EvaluaciónRiesgoCorrupR1!$F$11&lt;76,F18=4,H18=5),$H$27,IF(AND(L18&gt;0,[21]EvaluaciónRiesgoCorrupR1!$F$11&gt;50,[21]EvaluaciónRiesgoCorrupR1!$F$11&lt;76,F18=4,H18=10),$J$27,IF(AND(L18&gt;0,[21]EvaluaciónRiesgoCorrupR1!$F$11&gt;50,[21]EvaluaciónRiesgoCorrupR1!$F$11&lt;76,F18=4,H18=20),$K$27," ")))</f>
        <v xml:space="preserve"> </v>
      </c>
      <c r="AO18" s="26" t="str">
        <f>IF(AND(L18&gt;0,[21]EvaluaciónRiesgoCorrupR1!$F$11&gt;50,[21]EvaluaciónRiesgoCorrupR1!$F$11&lt;76,F18=5,H18=5),$H$28,IF(AND(L18&gt;0,[21]EvaluaciónRiesgoCorrupR1!$F$11&gt;50,[21]EvaluaciónRiesgoCorrupR1!$F$11&lt;76,F18=5,H18=10),$J$28,IF(AND(L18&gt;0,[21]EvaluaciónRiesgoCorrupR1!$F$11&gt;50,[21]EvaluaciónRiesgoCorrupR1!$F$11&lt;76,F18=5,H18=20),$K$28," ")))</f>
        <v xml:space="preserve"> </v>
      </c>
      <c r="AR18" s="26" t="str">
        <f>IF(AND(L18&gt;0,[21]EvaluaciónRiesgoCorrupR1!$F$11&lt;51,F18=1,H18=5),$H$25,IF(AND(L18&gt;0,[21]EvaluaciónRiesgoCorrupR1!$F$11&lt;51,F18=1,H18=10),$J$25,IF(AND(L18&gt;0,[21]EvaluaciónRiesgoCorrupR1!$F$11&lt;51,F18=1,H18=20),K$25," ")))</f>
        <v xml:space="preserve"> </v>
      </c>
      <c r="AS18" s="26" t="str">
        <f>IF(AND(L18&gt;0,[21]EvaluaciónRiesgoCorrupR1!$F$11&lt;51,F18=2,H18=5),$H$26,IF(AND(L18&gt;0,[21]EvaluaciónRiesgoCorrupR1!$F$11&lt;51,F18=2,H18=10),$J$26,IF(AND(L18&gt;0,[21]EvaluaciónRiesgoCorrupR1!$F$11&lt;51,F18=2,H18=20),K$26," ")))</f>
        <v xml:space="preserve"> </v>
      </c>
      <c r="AT18" s="26" t="str">
        <f>IF(AND(L18&gt;0,[21]EvaluaciónRiesgoCorrupR1!$F$11&lt;51,F18=3,H18=5),$H$27,IF(AND(L18&gt;0,[21]EvaluaciónRiesgoCorrupR1!$F$11&lt;51,F18=3,H18=10),$J$27,IF(AND(L18&gt;0,[21]EvaluaciónRiesgoCorrupR1!$F$11&lt;51,F18=3,H18=20),K$27," ")))</f>
        <v xml:space="preserve"> </v>
      </c>
      <c r="AU18" s="26" t="str">
        <f>IF(AND(L18&gt;0,[21]EvaluaciónRiesgoCorrupR1!$F$11&lt;51,F18=4,H18=5),$H$28,IF(AND(L18&gt;0,[21]EvaluaciónRiesgoCorrupR1!$F$11&lt;51,F18=4,H18=10),$J$28,IF(AND(L18&gt;0,[21]EvaluaciónRiesgoCorrupR1!$F$11&lt;51,F18=4,H18=20),K$28," ")))</f>
        <v xml:space="preserve"> </v>
      </c>
      <c r="AV18" s="26" t="str">
        <f>IF(AND(L18&gt;0,[21]EvaluaciónRiesgoCorrupR1!$F$11&lt;51,F18=5,H18=5),$H$29,IF(AND(L18&gt;0,[21]EvaluaciónRiesgoCorrupR1!$F$11&lt;51,F18=5,H18=10),$J$29,IF(AND(L18&gt;0,[21]EvaluaciónRiesgoCorrupR1!$F$11&lt;51,F18=5,H18=20),K$29," ")))</f>
        <v xml:space="preserve"> </v>
      </c>
      <c r="AZ18" s="26" t="str">
        <f>IF(AND(M18&gt;0,[21]EvaluaciónRiesgoCorrupR1!$F$11&gt;75,F18=1,H18=5),$H$25,IF(AND(M18&gt;0,[21]EvaluaciónRiesgoCorrupR1!$F$11&gt;75,F18=1,H18=10),$H$25,IF(AND(M18&gt;0,[21]EvaluaciónRiesgoCorrupR1!$F$11&gt;75,F18=1,H18=20),$H$25," ")))</f>
        <v xml:space="preserve"> </v>
      </c>
      <c r="BA18" s="26" t="str">
        <f>IF(AND(M18&gt;0,[21]EvaluaciónRiesgoCorrupR1!$F$11&gt;75,F18=2,H18=5),$H$26,IF(AND(M18&gt;0,[21]EvaluaciónRiesgoCorrupR1!$F$11&gt;75,F18=2,H18=10),$H$26,IF(AND(M18&gt;0,[21]EvaluaciónRiesgoCorrupR1!$F$11&gt;75,F18=2,H18=20),$H$26," ")))</f>
        <v xml:space="preserve"> </v>
      </c>
      <c r="BB18" s="26" t="str">
        <f>IF(AND(M18&gt;0,[21]EvaluaciónRiesgoCorrupR1!$F$11&gt;75,F18=3,H18=5),$H$27,IF(AND(M18&gt;0,[21]EvaluaciónRiesgoCorrupR1!$F$11&gt;75,F18=3,H18=10),$H$27,IF(AND(M18&gt;0,[21]EvaluaciónRiesgoCorrupR1!$F$11&gt;75,F18=3,H18=20),$H$27," ")))</f>
        <v xml:space="preserve"> </v>
      </c>
      <c r="BC18" s="26" t="str">
        <f>IF(AND(M18&gt;0,[21]EvaluaciónRiesgoCorrupR1!$F$11&gt;75,F18=4,H18=5),$H$28,IF(AND(M18&gt;0,[21]EvaluaciónRiesgoCorrupR1!$F$11&gt;75,F18=4,H18=10),$H$28,IF(AND(M18&gt;0,[21]EvaluaciónRiesgoCorrupR1!$F$11&gt;75,F18=4,H18=20),$H$28," ")))</f>
        <v xml:space="preserve"> </v>
      </c>
      <c r="BD18" s="26" t="str">
        <f>IF(AND(M18&gt;0,[21]EvaluaciónRiesgoCorrupR1!$F$11&gt;75,F18=5,H18=5),$H$29,IF(AND(M18&gt;0,[21]EvaluaciónRiesgoCorrupR1!$F$11&gt;75,F18=5,H18=10),$H$29,IF(AND(M18&gt;0,[21]EvaluaciónRiesgoCorrupR1!$F$11&gt;75,F18=5,H18=20),$H$29," ")))</f>
        <v xml:space="preserve"> </v>
      </c>
      <c r="BG18" s="26" t="str">
        <f>IF(AND(M18&gt;0,[21]EvaluaciónRiesgoCorrupR1!$F$11&gt;50,[21]EvaluaciónRiesgoCorrupR1!$F$11&lt;76,F18=1,H18=5),$H$25,IF(AND(M18&gt;0,[21]EvaluaciónRiesgoCorrupR1!$F$11&gt;50,[21]EvaluaciónRiesgoCorrupR1!$F$11&lt;76,F18=1,H18=10),$H$25,IF(AND(M18&gt;0,[21]EvaluaciónRiesgoCorrupR1!$F$11&gt;50,[21]EvaluaciónRiesgoCorrupR1!$F$11&lt;76,F18=1,H18=20),$J$25," ")))</f>
        <v xml:space="preserve"> </v>
      </c>
      <c r="BH18" s="26" t="str">
        <f>IF(AND(M18&gt;0,[21]EvaluaciónRiesgoCorrupR1!$F$11&gt;50,[21]EvaluaciónRiesgoCorrupR1!$F$11&lt;76,F18=2,H18=5),$H$26,IF(AND(M18&gt;0,[21]EvaluaciónRiesgoCorrupR1!$F$11&gt;50,[21]EvaluaciónRiesgoCorrupR1!$F$11&lt;76,F18=2,H18=10),$H$26,IF(AND(M18&gt;0,[21]EvaluaciónRiesgoCorrupR1!$F$11&gt;50,[21]EvaluaciónRiesgoCorrupR1!$F$11&lt;76,F18=2,H18=20),$J$26," ")))</f>
        <v xml:space="preserve"> </v>
      </c>
      <c r="BI18" s="26" t="str">
        <f>IF(AND(M18&gt;0,[21]EvaluaciónRiesgoCorrupR1!$F$11&gt;50,[21]EvaluaciónRiesgoCorrupR1!$F$11&lt;76,F18=3,H18=5),$H$27,IF(AND(M18&gt;0,[21]EvaluaciónRiesgoCorrupR1!$F$11&gt;50,[21]EvaluaciónRiesgoCorrupR1!$F$11&lt;76,F18=3,H18=10),$H$27,IF(AND(M18&gt;0,[21]EvaluaciónRiesgoCorrupR1!$F$11&gt;50,[21]EvaluaciónRiesgoCorrupR1!$F$11&lt;76,F18=3,H18=20),$J$27," ")))</f>
        <v xml:space="preserve"> </v>
      </c>
      <c r="BJ18" s="26" t="str">
        <f>IF(AND(M18&gt;0,[21]EvaluaciónRiesgoCorrupR1!$F$11&gt;50,[21]EvaluaciónRiesgoCorrupR1!$F$11&lt;76,F18=4,H18=5),$H$28,IF(AND(M18&gt;0,[21]EvaluaciónRiesgoCorrupR1!$F$11&gt;50,[21]EvaluaciónRiesgoCorrupR1!$F$11&lt;76,F18=4,H18=10),$H$28,IF(AND(M18&gt;0,[21]EvaluaciónRiesgoCorrupR1!$F$11&gt;50,[21]EvaluaciónRiesgoCorrupR1!$F$11&lt;76,F18=4,H18=20),$J$28," ")))</f>
        <v xml:space="preserve"> </v>
      </c>
      <c r="BK18" s="26" t="str">
        <f>IF(AND(M18&gt;0,[21]EvaluaciónRiesgoCorrupR1!$F$11&gt;50,[21]EvaluaciónRiesgoCorrupR1!$F$11&lt;76,F18=5,H18=5),$H$29,IF(AND(M18&gt;0,[21]EvaluaciónRiesgoCorrupR1!$F$11&gt;50,[21]EvaluaciónRiesgoCorrupR1!$F$11&lt;76,F18=5,H18=10),$H$29,IF(AND(M18&gt;0,[21]EvaluaciónRiesgoCorrupR1!$F$11&gt;50,[21]EvaluaciónRiesgoCorrupR1!$F$11&lt;76,F18=5,H18=20),$J$29," ")))</f>
        <v xml:space="preserve"> </v>
      </c>
      <c r="BN18" s="26" t="str">
        <f>IF(AND(M18&gt;0,[21]EvaluaciónRiesgoCorrupR1!$F$11&lt;51,F18=1,H18=5),$H$25,IF(AND(M18&gt;0,[21]EvaluaciónRiesgoCorrupR1!$F$11&lt;51,F18=1,H18=10),$J$25,IF(AND(M18&gt;0,[21]EvaluaciónRiesgoCorrupR1!$F$11&lt;51,F18=1,H18=20),$K$25," ")))</f>
        <v xml:space="preserve"> </v>
      </c>
      <c r="BO18" s="26" t="str">
        <f>IF(AND(M18&gt;0,[21]EvaluaciónRiesgoCorrupR1!$F$11&lt;51,F18=2,H18=5),$H$26,IF(AND(M18&gt;0,[21]EvaluaciónRiesgoCorrupR1!$F$11&lt;51,F18=2,H18=10),$J$26,IF(AND(M18&gt;0,[21]EvaluaciónRiesgoCorrupR1!$F$11&lt;51,F18=2,H18=20),$K$26," ")))</f>
        <v xml:space="preserve"> </v>
      </c>
      <c r="BP18" s="26" t="str">
        <f>IF(AND(M18&gt;0,[21]EvaluaciónRiesgoCorrupR1!$F$11&lt;51,F18=3,H18=5),$H$27,IF(AND(M18&gt;0,[21]EvaluaciónRiesgoCorrupR1!$F$11&lt;51,F18=3,H18=10),$J$27,IF(AND(M18&gt;0,[21]EvaluaciónRiesgoCorrupR1!$F$11&lt;51,F18=3,H18=20),$K$27," ")))</f>
        <v xml:space="preserve"> </v>
      </c>
      <c r="BQ18" s="26" t="str">
        <f>IF(AND(M18&gt;0,[21]EvaluaciónRiesgoCorrupR1!$F$11&lt;51,F18=4,H18=5),$H$28,IF(AND(M18&gt;0,[21]EvaluaciónRiesgoCorrupR1!$F$11&lt;51,F18=4,H18=10),$J$28,IF(AND(M18&gt;0,[21]EvaluaciónRiesgoCorrupR1!$F$11&lt;51,F18=4,H18=20),$K$28," ")))</f>
        <v xml:space="preserve"> </v>
      </c>
      <c r="BR18" s="26" t="str">
        <f>IF(AND(M18&gt;0,[21]EvaluaciónRiesgoCorrupR1!$F$11&lt;51,F18=5,H18=5),$H$29,IF(AND(M18&gt;0,[21]EvaluaciónRiesgoCorrupR1!$F$11&lt;51,F18=5,H18=10),$J$29,IF(AND(M18&gt;0,[21]EvaluaciónRiesgoCorrupR1!$F$11&lt;51,F18=5,H18=20),$K$29," ")))</f>
        <v xml:space="preserve"> </v>
      </c>
    </row>
    <row r="19" spans="1:70" ht="409.5" customHeight="1" x14ac:dyDescent="0.25">
      <c r="A19" s="261" t="str">
        <f>IF(ISTEXT([23]IdentificaciónRiesgos!$B8),[23]IdentificaciónRiesgos!$A8,"")</f>
        <v xml:space="preserve">Falta de ética y profesionalismo del funcionario instructor ó de la Primera Instancia Disciplinaria según el caso.   </v>
      </c>
      <c r="B19" s="261" t="str">
        <f>IF(ISTEXT([23]IdentificaciónRiesgos!$B8),[23]IdentificaciónRiesgos!$B8,"")</f>
        <v>No declararse impedido cuando exista el deber jurídico de hacerlo, con el ánimo de favorecer  a los sujetos procesales.</v>
      </c>
      <c r="C19" s="261" t="str">
        <f>IF(ISTEXT([23]IdentificaciónRiesgos!$B8),[23]IdentificaciónRiesgos!$C8,"")</f>
        <v>En caso de darse algunas de las causales contenidas en el Art. 84 del CDU, el servidor público que este adelantando la actuación disciplinaria ó que le competa fallar la misma, deberá declararse impedido</v>
      </c>
      <c r="D19" s="261" t="str">
        <f>IF(ISTEXT([23]IdentificaciónRiesgos!$B8),[23]IdentificaciónRiesgos!$D8,"")</f>
        <v xml:space="preserve">Incursión en Falta Disciplinaria Gravísima, al tenor de lo previsto en el Art. 48 No. 17 del CDU. </v>
      </c>
      <c r="E19" s="255" t="str">
        <f>IF(ISTEXT([23]IdentificaciónRiesgos!$B8),VLOOKUP($C19,[23]DefiniciónRiesgos!$A$4:$F$9,6,FALSE),"")</f>
        <v>RIESGO DE CORRUPCIÓN</v>
      </c>
      <c r="F19" s="256">
        <f>IF(ISTEXT([23]IdentificaciónRiesgos!$B8),IF(EXACT([23]AnálisisRiesgos!$B11,"X"),5,IF(EXACT([23]AnálisisRiesgos!$C11,"X"),4,IF(EXACT([23]AnálisisRiesgos!$D11,"X"),3,IF(EXACT([23]AnálisisRiesgos!$E11,"X"),2,IF(EXACT([23]AnálisisRiesgos!$F11,"X"),1,""))))),"")</f>
        <v>1</v>
      </c>
      <c r="G19" s="256" t="str">
        <f t="shared" ref="G19" si="2">IF(EXACT($F19,5),"Casí Seguro",IF(EXACT($F19,4),"Probable",IF(EXACT($F19,3),"Posible",IF(EXACT($F19,2),"Improbable","Rara Vez"))))</f>
        <v>Rara Vez</v>
      </c>
      <c r="H19" s="257">
        <f>IF(EXACT($B19,""),"",IF(EXACT($E19,"RIESGO DE GESTIÓN"),IF(EXACT([23]AnálisisRiesgos!$G11,"X"),5,IF(EXACT([23]AnálisisRiesgos!$H11,"X"),4,IF(EXACT([23]AnálisisRiesgos!$I11,"X"),3,IF(EXACT([23]AnálisisRiesgos!$J11,"X"),2,1)))),IF(EXACT([23]AnálisisRiesgos!$L11,"X"),20,IF(EXACT([23]AnálisisRiesgos!$M11,"X"),10,5))))</f>
        <v>10</v>
      </c>
      <c r="I19" s="257" t="str">
        <f t="shared" ref="I19" si="3">IF(EXACT($E19,"RIESGO DE GESTIÓN"),IF(EXACT($H19,1),"Insignificante",IF(EXACT($H19,2),"Menor",IF(EXACT($H19,3),"Moderado",IF(EXACT($H19,4),"Mayor","Catastrófico")))),IF(EXACT($H19,5),"Moderado",IF(EXACT($H19,10),"Mayor","Catastrófico")))</f>
        <v>Mayor</v>
      </c>
      <c r="J19" s="258" t="s">
        <v>219</v>
      </c>
      <c r="K19" s="240" t="s">
        <v>185</v>
      </c>
      <c r="L19" s="506" t="s">
        <v>10</v>
      </c>
      <c r="M19" s="507"/>
      <c r="N19" s="258" t="s">
        <v>220</v>
      </c>
      <c r="O19" s="259" t="s">
        <v>97</v>
      </c>
      <c r="P19" s="444" t="s">
        <v>233</v>
      </c>
      <c r="Q19" s="263" t="s">
        <v>234</v>
      </c>
      <c r="R19" s="444" t="s">
        <v>235</v>
      </c>
      <c r="S19" s="445"/>
      <c r="T19" s="450"/>
      <c r="U19" s="361" t="s">
        <v>275</v>
      </c>
      <c r="V19" s="444" t="s">
        <v>131</v>
      </c>
      <c r="X19" s="26" t="str">
        <f>IF(AND(F19=1,H19=5),$H$25,IF(AND(F19=1,H19=10),$J$25,IF(AND(F19=1,H19=20),$K$25," ")))</f>
        <v>B</v>
      </c>
      <c r="Y19" s="26" t="str">
        <f>IF(AND(F19=2,H19=5),$H$26,IF(AND(F19=2,H19=10),$J$26,IF(AND(F19=2,H19=20),$K$26," ")))</f>
        <v xml:space="preserve"> </v>
      </c>
      <c r="Z19" s="26" t="str">
        <f>IF(AND(F19=3,H19=5),$H$27,IF(AND(F19=3,H19=10),$J$27,IF(AND(F19=3,H19=20),$K$27," ")))</f>
        <v xml:space="preserve"> </v>
      </c>
      <c r="AA19" s="26" t="str">
        <f>IF(AND(F19=4,H19=5),$H$28,IF(AND(F19=4,H19=10),$J$28,IF(AND(F19=4,H19=20),$K$28," ")))</f>
        <v xml:space="preserve"> </v>
      </c>
      <c r="AB19" s="26" t="str">
        <f>IF(AND(F19=5,H19=5),$H$29,IF(AND(F19=5,H19=10),$J$29,IF(AND(F19=5,H19=20),$K$29," ")))</f>
        <v xml:space="preserve"> </v>
      </c>
      <c r="AE19" s="26" t="str">
        <f>IF(AND(L19&gt;0,[21]EvaluaciónRiesgoCorrupR1!$F$11&gt;75,F19=1,H19=5),$H$25,IF(AND(L19&gt;0,[21]EvaluaciónRiesgoCorrupR1!$F$11&gt;75,F19=1,H19=10),$J$25,IF(AND(L19&gt;0,[21]EvaluaciónRiesgoCorrupR1!$F$11&gt;75,F19=1,H19=20),$K$25," ")))</f>
        <v>B</v>
      </c>
      <c r="AF19" s="26" t="str">
        <f>IF(AND(L19&gt;0,[21]EvaluaciónRiesgoCorrupR1!$F$11&gt;75,F19=2,H19=5),$H$25,IF(AND(L19&gt;0,[21]EvaluaciónRiesgoCorrupR1!$F$11&gt;75,F19=2,H19=10),$J$25,IF(AND(L19&gt;0,[21]EvaluaciónRiesgoCorrupR1!$F$11&gt;75,F19=2,H19=20),$K$25," ")))</f>
        <v xml:space="preserve"> </v>
      </c>
      <c r="AG19" s="26" t="str">
        <f>IF(AND(L19&gt;0,[21]EvaluaciónRiesgoCorrupR1!$F$11&gt;75,F19=3,H19=5),$H$25,IF(AND(L19&gt;0,[21]EvaluaciónRiesgoCorrupR1!$F$11&gt;75,F19=3,H19=10),$J$25,IF(AND(L19&gt;0,[21]EvaluaciónRiesgoCorrupR1!$F$11&gt;75,F19=3,H19=20),$K$25," ")))</f>
        <v xml:space="preserve"> </v>
      </c>
      <c r="AH19" s="26" t="str">
        <f>IF(AND(L19&gt;0,[21]EvaluaciónRiesgoCorrupR1!$F$11&gt;75,F19=4,H19=5),$H$26,IF(AND(L19&gt;0,[21]EvaluaciónRiesgoCorrupR1!$F$11&gt;75,F19=4,H19=10),$J$26,IF(AND(L19&gt;0,[21]EvaluaciónRiesgoCorrupR1!$F$11&gt;75,F19=4,H19=20),$K$26," ")))</f>
        <v xml:space="preserve"> </v>
      </c>
      <c r="AI19" s="26" t="str">
        <f>IF(AND(L19&gt;0,[21]EvaluaciónRiesgoCorrupR1!$F$11&gt;75,F19=5,H19=5),$H$27,IF(AND(L19&gt;0,[21]EvaluaciónRiesgoCorrupR1!$F$11&gt;75,F19=5,H19=10),$J$27,IF(AND(L19&gt;0,[21]EvaluaciónRiesgoCorrupR1!$F$11&gt;75,F19=5,H19=20),$K$27," ")))</f>
        <v xml:space="preserve"> </v>
      </c>
      <c r="AK19" s="26" t="str">
        <f>IF(AND(L19&gt;0,[21]EvaluaciónRiesgoCorrupR1!$F$11&gt;50,[21]EvaluaciónRiesgoCorrupR1!$F$11&lt;76,F19=1,H19=5),$H$25,IF(AND(L19&gt;0,[21]EvaluaciónRiesgoCorrupR1!$F$11&gt;50,[21]EvaluaciónRiesgoCorrupR1!$F$11&lt;76,F19=1,H19=10),$J$25,IF(AND(L19&gt;0,[21]EvaluaciónRiesgoCorrupR1!$F$11&gt;50,[21]EvaluaciónRiesgoCorrupR1!$F$11&lt;76,F19=1,H19=20),$K$25," ")))</f>
        <v xml:space="preserve"> </v>
      </c>
      <c r="AL19" s="26" t="str">
        <f>IF(AND(L19&gt;0,[21]EvaluaciónRiesgoCorrupR1!$F$11&gt;50,[21]EvaluaciónRiesgoCorrupR1!$F$11&lt;76,F19=2,H19=5),$H$25,IF(AND(L19&gt;0,[21]EvaluaciónRiesgoCorrupR1!$F$11&gt;50,[21]EvaluaciónRiesgoCorrupR1!$F$11&lt;76,F19=2,H19=10),$J$25,IF(AND(L19&gt;0,[21]EvaluaciónRiesgoCorrupR1!$F$11&gt;50,[21]EvaluaciónRiesgoCorrupR1!$F$11&lt;76,F19=2,H19=20),$K$25," ")))</f>
        <v xml:space="preserve"> </v>
      </c>
      <c r="AM19" s="26" t="str">
        <f>IF(AND(L19&gt;0,[21]EvaluaciónRiesgoCorrupR1!$F$11&gt;50,[21]EvaluaciónRiesgoCorrupR1!$F$11&lt;76,F19=3,H19=5),$H$26,IF(AND(L19&gt;0,[21]EvaluaciónRiesgoCorrupR1!$F$11&gt;50,[21]EvaluaciónRiesgoCorrupR1!$F$11&lt;76,F19=3,H19=10),$J$26,IF(AND(L19&gt;0,[21]EvaluaciónRiesgoCorrupR1!$F$11&gt;50,[21]EvaluaciónRiesgoCorrupR1!$F$11&lt;76,F19=3,H19=20),$K$26," ")))</f>
        <v xml:space="preserve"> </v>
      </c>
      <c r="AN19" s="26" t="str">
        <f>IF(AND(L19&gt;0,[21]EvaluaciónRiesgoCorrupR1!$F$11&gt;50,[21]EvaluaciónRiesgoCorrupR1!$F$11&lt;76,F19=4,H19=5),$H$27,IF(AND(L19&gt;0,[21]EvaluaciónRiesgoCorrupR1!$F$11&gt;50,[21]EvaluaciónRiesgoCorrupR1!$F$11&lt;76,F19=4,H19=10),$J$27,IF(AND(L19&gt;0,[21]EvaluaciónRiesgoCorrupR1!$F$11&gt;50,[21]EvaluaciónRiesgoCorrupR1!$F$11&lt;76,F19=4,H19=20),$K$27," ")))</f>
        <v xml:space="preserve"> </v>
      </c>
      <c r="AO19" s="26" t="str">
        <f>IF(AND(L19&gt;0,[21]EvaluaciónRiesgoCorrupR1!$F$11&gt;50,[21]EvaluaciónRiesgoCorrupR1!$F$11&lt;76,F19=5,H19=5),$H$28,IF(AND(L19&gt;0,[21]EvaluaciónRiesgoCorrupR1!$F$11&gt;50,[21]EvaluaciónRiesgoCorrupR1!$F$11&lt;76,F19=5,H19=10),$J$28,IF(AND(L19&gt;0,[21]EvaluaciónRiesgoCorrupR1!$F$11&gt;50,[21]EvaluaciónRiesgoCorrupR1!$F$11&lt;76,F19=5,H19=20),$K$28," ")))</f>
        <v xml:space="preserve"> </v>
      </c>
      <c r="AR19" s="26" t="str">
        <f>IF(AND(L19&gt;0,[21]EvaluaciónRiesgoCorrupR1!$F$11&lt;51,F19=1,H19=5),$H$25,IF(AND(L19&gt;0,[21]EvaluaciónRiesgoCorrupR1!$F$11&lt;51,F19=1,H19=10),$J$25,IF(AND(L19&gt;0,[21]EvaluaciónRiesgoCorrupR1!$F$11&lt;51,F19=1,H19=20),K$25," ")))</f>
        <v xml:space="preserve"> </v>
      </c>
      <c r="AS19" s="26" t="str">
        <f>IF(AND(L19&gt;0,[21]EvaluaciónRiesgoCorrupR1!$F$11&lt;51,F19=2,H19=5),$H$26,IF(AND(L19&gt;0,[21]EvaluaciónRiesgoCorrupR1!$F$11&lt;51,F19=2,H19=10),$J$26,IF(AND(L19&gt;0,[21]EvaluaciónRiesgoCorrupR1!$F$11&lt;51,F19=2,H19=20),K$26," ")))</f>
        <v xml:space="preserve"> </v>
      </c>
      <c r="AT19" s="26" t="str">
        <f>IF(AND(L19&gt;0,[21]EvaluaciónRiesgoCorrupR1!$F$11&lt;51,F19=3,H19=5),$H$27,IF(AND(L19&gt;0,[21]EvaluaciónRiesgoCorrupR1!$F$11&lt;51,F19=3,H19=10),$J$27,IF(AND(L19&gt;0,[21]EvaluaciónRiesgoCorrupR1!$F$11&lt;51,F19=3,H19=20),K$27," ")))</f>
        <v xml:space="preserve"> </v>
      </c>
      <c r="AU19" s="26" t="str">
        <f>IF(AND(L19&gt;0,[21]EvaluaciónRiesgoCorrupR1!$F$11&lt;51,F19=4,H19=5),$H$28,IF(AND(L19&gt;0,[21]EvaluaciónRiesgoCorrupR1!$F$11&lt;51,F19=4,H19=10),$J$28,IF(AND(L19&gt;0,[21]EvaluaciónRiesgoCorrupR1!$F$11&lt;51,F19=4,H19=20),K$28," ")))</f>
        <v xml:space="preserve"> </v>
      </c>
      <c r="AV19" s="26" t="str">
        <f>IF(AND(L19&gt;0,[21]EvaluaciónRiesgoCorrupR1!$F$11&lt;51,F19=5,H19=5),$H$29,IF(AND(L19&gt;0,[21]EvaluaciónRiesgoCorrupR1!$F$11&lt;51,F19=5,H19=10),$J$29,IF(AND(L19&gt;0,[21]EvaluaciónRiesgoCorrupR1!$F$11&lt;51,F19=5,H19=20),K$29," ")))</f>
        <v xml:space="preserve"> </v>
      </c>
      <c r="AZ19" s="26" t="str">
        <f>IF(AND(M19&gt;0,[21]EvaluaciónRiesgoCorrupR1!$F$11&gt;75,F19=1,H19=5),$H$25,IF(AND(M19&gt;0,[21]EvaluaciónRiesgoCorrupR1!$F$11&gt;75,F19=1,H19=10),$H$25,IF(AND(M19&gt;0,[21]EvaluaciónRiesgoCorrupR1!$F$11&gt;75,F19=1,H19=20),$H$25," ")))</f>
        <v xml:space="preserve"> </v>
      </c>
      <c r="BA19" s="26" t="str">
        <f>IF(AND(M19&gt;0,[21]EvaluaciónRiesgoCorrupR1!$F$11&gt;75,F19=2,H19=5),$H$26,IF(AND(M19&gt;0,[21]EvaluaciónRiesgoCorrupR1!$F$11&gt;75,F19=2,H19=10),$H$26,IF(AND(M19&gt;0,[21]EvaluaciónRiesgoCorrupR1!$F$11&gt;75,F19=2,H19=20),$H$26," ")))</f>
        <v xml:space="preserve"> </v>
      </c>
      <c r="BB19" s="26" t="str">
        <f>IF(AND(M19&gt;0,[21]EvaluaciónRiesgoCorrupR1!$F$11&gt;75,F19=3,H19=5),$H$27,IF(AND(M19&gt;0,[21]EvaluaciónRiesgoCorrupR1!$F$11&gt;75,F19=3,H19=10),$H$27,IF(AND(M19&gt;0,[21]EvaluaciónRiesgoCorrupR1!$F$11&gt;75,F19=3,H19=20),$H$27," ")))</f>
        <v xml:space="preserve"> </v>
      </c>
      <c r="BC19" s="26" t="str">
        <f>IF(AND(M19&gt;0,[21]EvaluaciónRiesgoCorrupR1!$F$11&gt;75,F19=4,H19=5),$H$28,IF(AND(M19&gt;0,[21]EvaluaciónRiesgoCorrupR1!$F$11&gt;75,F19=4,H19=10),$H$28,IF(AND(M19&gt;0,[21]EvaluaciónRiesgoCorrupR1!$F$11&gt;75,F19=4,H19=20),$H$28," ")))</f>
        <v xml:space="preserve"> </v>
      </c>
      <c r="BD19" s="26" t="str">
        <f>IF(AND(M19&gt;0,[21]EvaluaciónRiesgoCorrupR1!$F$11&gt;75,F19=5,H19=5),$H$29,IF(AND(M19&gt;0,[21]EvaluaciónRiesgoCorrupR1!$F$11&gt;75,F19=5,H19=10),$H$29,IF(AND(M19&gt;0,[21]EvaluaciónRiesgoCorrupR1!$F$11&gt;75,F19=5,H19=20),$H$29," ")))</f>
        <v xml:space="preserve"> </v>
      </c>
      <c r="BG19" s="26" t="str">
        <f>IF(AND(M19&gt;0,[21]EvaluaciónRiesgoCorrupR1!$F$11&gt;50,[21]EvaluaciónRiesgoCorrupR1!$F$11&lt;76,F19=1,H19=5),$H$25,IF(AND(M19&gt;0,[21]EvaluaciónRiesgoCorrupR1!$F$11&gt;50,[21]EvaluaciónRiesgoCorrupR1!$F$11&lt;76,F19=1,H19=10),$H$25,IF(AND(M19&gt;0,[21]EvaluaciónRiesgoCorrupR1!$F$11&gt;50,[21]EvaluaciónRiesgoCorrupR1!$F$11&lt;76,F19=1,H19=20),$J$25," ")))</f>
        <v xml:space="preserve"> </v>
      </c>
      <c r="BH19" s="26" t="str">
        <f>IF(AND(M19&gt;0,[21]EvaluaciónRiesgoCorrupR1!$F$11&gt;50,[21]EvaluaciónRiesgoCorrupR1!$F$11&lt;76,F19=2,H19=5),$H$26,IF(AND(M19&gt;0,[21]EvaluaciónRiesgoCorrupR1!$F$11&gt;50,[21]EvaluaciónRiesgoCorrupR1!$F$11&lt;76,F19=2,H19=10),$H$26,IF(AND(M19&gt;0,[21]EvaluaciónRiesgoCorrupR1!$F$11&gt;50,[21]EvaluaciónRiesgoCorrupR1!$F$11&lt;76,F19=2,H19=20),$J$26," ")))</f>
        <v xml:space="preserve"> </v>
      </c>
      <c r="BI19" s="26" t="str">
        <f>IF(AND(M19&gt;0,[21]EvaluaciónRiesgoCorrupR1!$F$11&gt;50,[21]EvaluaciónRiesgoCorrupR1!$F$11&lt;76,F19=3,H19=5),$H$27,IF(AND(M19&gt;0,[21]EvaluaciónRiesgoCorrupR1!$F$11&gt;50,[21]EvaluaciónRiesgoCorrupR1!$F$11&lt;76,F19=3,H19=10),$H$27,IF(AND(M19&gt;0,[21]EvaluaciónRiesgoCorrupR1!$F$11&gt;50,[21]EvaluaciónRiesgoCorrupR1!$F$11&lt;76,F19=3,H19=20),$J$27," ")))</f>
        <v xml:space="preserve"> </v>
      </c>
      <c r="BJ19" s="26" t="str">
        <f>IF(AND(M19&gt;0,[21]EvaluaciónRiesgoCorrupR1!$F$11&gt;50,[21]EvaluaciónRiesgoCorrupR1!$F$11&lt;76,F19=4,H19=5),$H$28,IF(AND(M19&gt;0,[21]EvaluaciónRiesgoCorrupR1!$F$11&gt;50,[21]EvaluaciónRiesgoCorrupR1!$F$11&lt;76,F19=4,H19=10),$H$28,IF(AND(M19&gt;0,[21]EvaluaciónRiesgoCorrupR1!$F$11&gt;50,[21]EvaluaciónRiesgoCorrupR1!$F$11&lt;76,F19=4,H19=20),$J$28," ")))</f>
        <v xml:space="preserve"> </v>
      </c>
      <c r="BK19" s="26" t="str">
        <f>IF(AND(M19&gt;0,[21]EvaluaciónRiesgoCorrupR1!$F$11&gt;50,[21]EvaluaciónRiesgoCorrupR1!$F$11&lt;76,F19=5,H19=5),$H$29,IF(AND(M19&gt;0,[21]EvaluaciónRiesgoCorrupR1!$F$11&gt;50,[21]EvaluaciónRiesgoCorrupR1!$F$11&lt;76,F19=5,H19=10),$H$29,IF(AND(M19&gt;0,[21]EvaluaciónRiesgoCorrupR1!$F$11&gt;50,[21]EvaluaciónRiesgoCorrupR1!$F$11&lt;76,F19=5,H19=20),$J$29," ")))</f>
        <v xml:space="preserve"> </v>
      </c>
      <c r="BN19" s="26" t="str">
        <f>IF(AND(M19&gt;0,[21]EvaluaciónRiesgoCorrupR1!$F$11&lt;51,F19=1,H19=5),$H$25,IF(AND(M19&gt;0,[21]EvaluaciónRiesgoCorrupR1!$F$11&lt;51,F19=1,H19=10),$J$25,IF(AND(M19&gt;0,[21]EvaluaciónRiesgoCorrupR1!$F$11&lt;51,F19=1,H19=20),$K$25," ")))</f>
        <v xml:space="preserve"> </v>
      </c>
      <c r="BO19" s="26" t="str">
        <f>IF(AND(M19&gt;0,[21]EvaluaciónRiesgoCorrupR1!$F$11&lt;51,F19=2,H19=5),$H$26,IF(AND(M19&gt;0,[21]EvaluaciónRiesgoCorrupR1!$F$11&lt;51,F19=2,H19=10),$J$26,IF(AND(M19&gt;0,[21]EvaluaciónRiesgoCorrupR1!$F$11&lt;51,F19=2,H19=20),$K$26," ")))</f>
        <v xml:space="preserve"> </v>
      </c>
      <c r="BP19" s="26" t="str">
        <f>IF(AND(M19&gt;0,[21]EvaluaciónRiesgoCorrupR1!$F$11&lt;51,F19=3,H19=5),$H$27,IF(AND(M19&gt;0,[21]EvaluaciónRiesgoCorrupR1!$F$11&lt;51,F19=3,H19=10),$J$27,IF(AND(M19&gt;0,[21]EvaluaciónRiesgoCorrupR1!$F$11&lt;51,F19=3,H19=20),$K$27," ")))</f>
        <v xml:space="preserve"> </v>
      </c>
      <c r="BQ19" s="26" t="str">
        <f>IF(AND(M19&gt;0,[21]EvaluaciónRiesgoCorrupR1!$F$11&lt;51,F19=4,H19=5),$H$28,IF(AND(M19&gt;0,[21]EvaluaciónRiesgoCorrupR1!$F$11&lt;51,F19=4,H19=10),$J$28,IF(AND(M19&gt;0,[21]EvaluaciónRiesgoCorrupR1!$F$11&lt;51,F19=4,H19=20),$K$28," ")))</f>
        <v xml:space="preserve"> </v>
      </c>
      <c r="BR19" s="26" t="str">
        <f>IF(AND(M19&gt;0,[21]EvaluaciónRiesgoCorrupR1!$F$11&lt;51,F19=5,H19=5),$H$29,IF(AND(M19&gt;0,[21]EvaluaciónRiesgoCorrupR1!$F$11&lt;51,F19=5,H19=10),$J$29,IF(AND(M19&gt;0,[21]EvaluaciónRiesgoCorrupR1!$F$11&lt;51,F19=5,H19=20),$K$29," ")))</f>
        <v xml:space="preserve"> </v>
      </c>
    </row>
    <row r="20" spans="1:70" ht="27" customHeight="1" x14ac:dyDescent="0.25">
      <c r="A20" s="29"/>
      <c r="B20" s="22"/>
      <c r="C20" s="124"/>
      <c r="D20" s="22"/>
      <c r="E20" s="78"/>
    </row>
    <row r="21" spans="1:70" x14ac:dyDescent="0.25">
      <c r="A21" s="26"/>
      <c r="B21" s="28"/>
      <c r="C21" s="126"/>
      <c r="D21" s="28"/>
      <c r="E21" s="139"/>
    </row>
    <row r="22" spans="1:70" ht="15" thickBot="1" x14ac:dyDescent="0.3">
      <c r="A22" s="26"/>
      <c r="B22" s="28"/>
      <c r="C22" s="126"/>
      <c r="D22" s="28"/>
      <c r="E22" s="139"/>
      <c r="H22" s="30"/>
      <c r="I22" s="140"/>
      <c r="J22" s="30"/>
    </row>
    <row r="23" spans="1:70" ht="15.75" thickBot="1" x14ac:dyDescent="0.3">
      <c r="A23" s="6"/>
      <c r="B23" s="31"/>
      <c r="C23" s="139"/>
      <c r="D23" s="31"/>
      <c r="E23" s="139"/>
      <c r="F23" s="462" t="s">
        <v>26</v>
      </c>
      <c r="G23" s="77"/>
      <c r="H23" s="464" t="s">
        <v>10</v>
      </c>
      <c r="I23" s="464"/>
      <c r="J23" s="464"/>
      <c r="K23" s="465"/>
      <c r="L23" s="2"/>
      <c r="Q23" s="5"/>
      <c r="S23" s="2"/>
    </row>
    <row r="24" spans="1:70" ht="32.25" customHeight="1" thickBot="1" x14ac:dyDescent="0.3">
      <c r="A24" s="5"/>
      <c r="B24" s="32" t="s">
        <v>34</v>
      </c>
      <c r="C24" s="127"/>
      <c r="D24" s="32"/>
      <c r="E24" s="127"/>
      <c r="F24" s="463"/>
      <c r="G24" s="145"/>
      <c r="H24" s="33" t="s">
        <v>35</v>
      </c>
      <c r="I24" s="128"/>
      <c r="J24" s="34" t="s">
        <v>36</v>
      </c>
      <c r="K24" s="33" t="s">
        <v>37</v>
      </c>
      <c r="L24" s="2"/>
      <c r="Q24" s="5"/>
      <c r="S24" s="2"/>
    </row>
    <row r="25" spans="1:70" ht="15.75" thickBot="1" x14ac:dyDescent="0.3">
      <c r="B25" s="5" t="s">
        <v>38</v>
      </c>
      <c r="C25" s="118"/>
      <c r="F25" s="35" t="s">
        <v>39</v>
      </c>
      <c r="G25" s="129"/>
      <c r="H25" s="36" t="s">
        <v>40</v>
      </c>
      <c r="I25" s="130"/>
      <c r="J25" s="36" t="s">
        <v>40</v>
      </c>
      <c r="K25" s="37" t="s">
        <v>41</v>
      </c>
      <c r="L25" s="2"/>
      <c r="Q25" s="5"/>
      <c r="S25" s="2"/>
    </row>
    <row r="26" spans="1:70" ht="15.75" thickBot="1" x14ac:dyDescent="0.3">
      <c r="F26" s="35" t="s">
        <v>42</v>
      </c>
      <c r="G26" s="129"/>
      <c r="H26" s="36" t="s">
        <v>40</v>
      </c>
      <c r="I26" s="130"/>
      <c r="J26" s="37" t="s">
        <v>41</v>
      </c>
      <c r="K26" s="38" t="s">
        <v>43</v>
      </c>
      <c r="L26" s="2"/>
      <c r="Q26" s="5"/>
      <c r="S26" s="2"/>
    </row>
    <row r="27" spans="1:70" ht="15.75" thickBot="1" x14ac:dyDescent="0.3">
      <c r="F27" s="35" t="s">
        <v>44</v>
      </c>
      <c r="G27" s="129"/>
      <c r="H27" s="37" t="s">
        <v>41</v>
      </c>
      <c r="I27" s="131"/>
      <c r="J27" s="38" t="s">
        <v>43</v>
      </c>
      <c r="K27" s="39" t="s">
        <v>45</v>
      </c>
      <c r="L27" s="2"/>
      <c r="Q27" s="5"/>
      <c r="S27" s="2"/>
    </row>
    <row r="28" spans="1:70" ht="15.75" thickBot="1" x14ac:dyDescent="0.3">
      <c r="F28" s="35" t="s">
        <v>46</v>
      </c>
      <c r="G28" s="129"/>
      <c r="H28" s="37" t="s">
        <v>41</v>
      </c>
      <c r="I28" s="131"/>
      <c r="J28" s="38" t="s">
        <v>43</v>
      </c>
      <c r="K28" s="39" t="s">
        <v>45</v>
      </c>
      <c r="L28" s="2"/>
      <c r="Q28" s="5"/>
      <c r="S28" s="2"/>
    </row>
    <row r="29" spans="1:70" ht="15.75" thickBot="1" x14ac:dyDescent="0.3">
      <c r="F29" s="35" t="s">
        <v>47</v>
      </c>
      <c r="G29" s="129"/>
      <c r="H29" s="37" t="s">
        <v>41</v>
      </c>
      <c r="I29" s="131"/>
      <c r="J29" s="38" t="s">
        <v>43</v>
      </c>
      <c r="K29" s="39" t="s">
        <v>45</v>
      </c>
      <c r="L29" s="2"/>
      <c r="Q29" s="5"/>
      <c r="S29" s="2"/>
    </row>
    <row r="30" spans="1:70" x14ac:dyDescent="0.25">
      <c r="F30" s="2"/>
      <c r="G30" s="115"/>
      <c r="H30" s="2"/>
      <c r="I30" s="115"/>
      <c r="J30" s="2"/>
      <c r="K30" s="5"/>
      <c r="M30" s="5"/>
    </row>
    <row r="31" spans="1:70" ht="15" x14ac:dyDescent="0.25">
      <c r="F31" s="40" t="s">
        <v>48</v>
      </c>
      <c r="G31" s="132"/>
      <c r="H31" s="2"/>
      <c r="I31" s="115"/>
      <c r="J31" s="2"/>
      <c r="K31" s="5"/>
      <c r="M31" s="5"/>
      <c r="N31" s="5"/>
      <c r="O31" s="118"/>
      <c r="P31" s="5"/>
    </row>
    <row r="32" spans="1:70" ht="15" x14ac:dyDescent="0.25">
      <c r="F32" s="41" t="s">
        <v>49</v>
      </c>
      <c r="G32" s="133"/>
      <c r="H32" s="2"/>
      <c r="I32" s="115"/>
      <c r="J32" s="2"/>
      <c r="K32" s="5"/>
      <c r="M32" s="5"/>
      <c r="N32" s="5"/>
      <c r="O32" s="118"/>
      <c r="P32" s="5"/>
    </row>
    <row r="33" spans="6:16" ht="15" x14ac:dyDescent="0.25">
      <c r="F33" s="42" t="s">
        <v>50</v>
      </c>
      <c r="G33" s="134"/>
      <c r="H33" s="2"/>
      <c r="I33" s="115"/>
      <c r="J33" s="2"/>
      <c r="K33" s="5"/>
      <c r="M33" s="5"/>
      <c r="N33" s="5"/>
      <c r="O33" s="118"/>
      <c r="P33" s="5"/>
    </row>
    <row r="34" spans="6:16" ht="15" x14ac:dyDescent="0.25">
      <c r="F34" s="43" t="s">
        <v>51</v>
      </c>
      <c r="G34" s="135"/>
      <c r="H34" s="2"/>
      <c r="I34" s="115"/>
      <c r="J34" s="2"/>
      <c r="K34" s="5"/>
      <c r="M34" s="5"/>
      <c r="N34" s="5"/>
      <c r="O34" s="118"/>
      <c r="P34" s="5"/>
    </row>
  </sheetData>
  <mergeCells count="37">
    <mergeCell ref="F12:W12"/>
    <mergeCell ref="T15:T16"/>
    <mergeCell ref="U15:U16"/>
    <mergeCell ref="V15:V16"/>
    <mergeCell ref="F23:F24"/>
    <mergeCell ref="H23:K23"/>
    <mergeCell ref="P15:R15"/>
    <mergeCell ref="L17:M17"/>
    <mergeCell ref="L18:M18"/>
    <mergeCell ref="L19:M19"/>
    <mergeCell ref="A12:D12"/>
    <mergeCell ref="AG13:AY13"/>
    <mergeCell ref="BA13:BT13"/>
    <mergeCell ref="A14:D14"/>
    <mergeCell ref="F14:H14"/>
    <mergeCell ref="K14:K16"/>
    <mergeCell ref="L14:N14"/>
    <mergeCell ref="P14:R14"/>
    <mergeCell ref="S14:V14"/>
    <mergeCell ref="A15:A16"/>
    <mergeCell ref="B15:B16"/>
    <mergeCell ref="D15:D16"/>
    <mergeCell ref="F15:H15"/>
    <mergeCell ref="L15:N15"/>
    <mergeCell ref="S15:S16"/>
    <mergeCell ref="A6:D6"/>
    <mergeCell ref="F6:V6"/>
    <mergeCell ref="A8:D8"/>
    <mergeCell ref="F8:V8"/>
    <mergeCell ref="A10:D10"/>
    <mergeCell ref="F10:V10"/>
    <mergeCell ref="A1:D4"/>
    <mergeCell ref="F1:T4"/>
    <mergeCell ref="U1:V1"/>
    <mergeCell ref="U2:V2"/>
    <mergeCell ref="U3:V3"/>
    <mergeCell ref="U4:V4"/>
  </mergeCells>
  <conditionalFormatting sqref="J17 N17:O17">
    <cfRule type="containsText" dxfId="15" priority="9" operator="containsText" text="E">
      <formula>NOT(ISERROR(SEARCH("E",J17)))</formula>
    </cfRule>
    <cfRule type="containsText" dxfId="14" priority="10" operator="containsText" text="M">
      <formula>NOT(ISERROR(SEARCH("M",J17)))</formula>
    </cfRule>
    <cfRule type="containsText" dxfId="13" priority="11" operator="containsText" text="A">
      <formula>NOT(ISERROR(SEARCH("A",J17)))</formula>
    </cfRule>
    <cfRule type="containsText" dxfId="12" priority="12" operator="containsText" text="B">
      <formula>NOT(ISERROR(SEARCH("B",J17)))</formula>
    </cfRule>
  </conditionalFormatting>
  <conditionalFormatting sqref="J18 N18:O18">
    <cfRule type="containsText" dxfId="11" priority="5" operator="containsText" text="E">
      <formula>NOT(ISERROR(SEARCH("E",J18)))</formula>
    </cfRule>
    <cfRule type="containsText" dxfId="10" priority="6" operator="containsText" text="M">
      <formula>NOT(ISERROR(SEARCH("M",J18)))</formula>
    </cfRule>
    <cfRule type="containsText" dxfId="9" priority="7" operator="containsText" text="A">
      <formula>NOT(ISERROR(SEARCH("A",J18)))</formula>
    </cfRule>
    <cfRule type="containsText" dxfId="8" priority="8" operator="containsText" text="B">
      <formula>NOT(ISERROR(SEARCH("B",J18)))</formula>
    </cfRule>
  </conditionalFormatting>
  <conditionalFormatting sqref="J19 N19">
    <cfRule type="containsText" dxfId="7" priority="1" operator="containsText" text="E">
      <formula>NOT(ISERROR(SEARCH("E",J19)))</formula>
    </cfRule>
    <cfRule type="containsText" dxfId="6" priority="2" operator="containsText" text="M">
      <formula>NOT(ISERROR(SEARCH("M",J19)))</formula>
    </cfRule>
    <cfRule type="containsText" dxfId="5" priority="3" operator="containsText" text="A">
      <formula>NOT(ISERROR(SEARCH("A",J19)))</formula>
    </cfRule>
    <cfRule type="containsText" dxfId="4" priority="4" operator="containsText" text="B">
      <formula>NOT(ISERROR(SEARCH("B",J19)))</formula>
    </cfRule>
  </conditionalFormatting>
  <dataValidations disablePrompts="1" count="3">
    <dataValidation type="list" allowBlank="1" showInputMessage="1" showErrorMessage="1" sqref="L20:O20">
      <formula1>#REF!</formula1>
    </dataValidation>
    <dataValidation type="list" allowBlank="1" showInputMessage="1" showErrorMessage="1" sqref="P20:Q20">
      <formula1>$J$31:$J$34</formula1>
    </dataValidation>
    <dataValidation type="list" allowBlank="1" showInputMessage="1" showErrorMessage="1" promptTitle="AFECTA A:" prompt="Seleccione según a quien afecte el control" sqref="L18:M19">
      <formula1>$XFD$2:$XFD$3</formula1>
    </dataValidation>
  </dataValidations>
  <pageMargins left="0.7" right="0.7" top="0.75" bottom="0.75" header="0.3" footer="0.3"/>
  <pageSetup scale="14" orientation="landscape"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U38"/>
  <sheetViews>
    <sheetView showGridLines="0" tabSelected="1" view="pageBreakPreview" topLeftCell="E1" zoomScale="70" zoomScaleNormal="60" zoomScaleSheetLayoutView="70" workbookViewId="0">
      <selection activeCell="F12" sqref="F12:W12"/>
    </sheetView>
  </sheetViews>
  <sheetFormatPr baseColWidth="10" defaultRowHeight="14.25" x14ac:dyDescent="0.25"/>
  <cols>
    <col min="1" max="1" width="41.28515625" style="2" customWidth="1"/>
    <col min="2" max="2" width="40.42578125" style="2" customWidth="1"/>
    <col min="3" max="3" width="40.42578125" style="115" customWidth="1"/>
    <col min="4" max="4" width="40.42578125" style="2" customWidth="1"/>
    <col min="5" max="5" width="40.42578125" style="115" customWidth="1"/>
    <col min="6" max="6" width="27" style="5" customWidth="1"/>
    <col min="7" max="7" width="27" style="118" customWidth="1"/>
    <col min="8" max="8" width="19" style="5" customWidth="1"/>
    <col min="9" max="9" width="19" style="118" customWidth="1"/>
    <col min="10" max="10" width="26.7109375" style="5" customWidth="1"/>
    <col min="11" max="11" width="31.5703125" style="2" customWidth="1"/>
    <col min="12" max="12" width="17.7109375" style="5" customWidth="1"/>
    <col min="13" max="13" width="18.5703125" style="2" customWidth="1"/>
    <col min="14" max="14" width="21.7109375" style="2" customWidth="1"/>
    <col min="15" max="15" width="21.7109375" style="115" customWidth="1"/>
    <col min="16" max="16" width="19.85546875" style="2" customWidth="1"/>
    <col min="17" max="17" width="34.140625" style="2" customWidth="1"/>
    <col min="18" max="18" width="17" style="2" customWidth="1"/>
    <col min="19" max="19" width="36.42578125" style="5" customWidth="1"/>
    <col min="20" max="20" width="109.140625" style="2" customWidth="1"/>
    <col min="21" max="21" width="30.42578125" style="2" customWidth="1"/>
    <col min="22" max="22" width="60.140625" style="2" customWidth="1"/>
    <col min="23" max="23" width="30.42578125" style="2" customWidth="1"/>
    <col min="24" max="24" width="36" style="2" hidden="1" customWidth="1"/>
    <col min="25" max="73" width="11.42578125" style="2" hidden="1" customWidth="1"/>
    <col min="74" max="261" width="11.42578125" style="2"/>
    <col min="262" max="262" width="41.28515625" style="2" customWidth="1"/>
    <col min="263" max="264" width="40.42578125" style="2" customWidth="1"/>
    <col min="265" max="265" width="27" style="2" customWidth="1"/>
    <col min="266" max="266" width="19" style="2" customWidth="1"/>
    <col min="267" max="267" width="26.7109375" style="2" customWidth="1"/>
    <col min="268" max="268" width="31.5703125" style="2" customWidth="1"/>
    <col min="269" max="269" width="17.7109375" style="2" customWidth="1"/>
    <col min="270" max="270" width="18.5703125" style="2" customWidth="1"/>
    <col min="271" max="271" width="21.7109375" style="2" customWidth="1"/>
    <col min="272" max="272" width="19.85546875" style="2" customWidth="1"/>
    <col min="273" max="273" width="34.140625" style="2" customWidth="1"/>
    <col min="274" max="274" width="17" style="2" customWidth="1"/>
    <col min="275" max="275" width="36.42578125" style="2" customWidth="1"/>
    <col min="276" max="276" width="26.5703125" style="2" customWidth="1"/>
    <col min="277" max="279" width="30.42578125" style="2" customWidth="1"/>
    <col min="280" max="329" width="0" style="2" hidden="1" customWidth="1"/>
    <col min="330" max="517" width="11.42578125" style="2"/>
    <col min="518" max="518" width="41.28515625" style="2" customWidth="1"/>
    <col min="519" max="520" width="40.42578125" style="2" customWidth="1"/>
    <col min="521" max="521" width="27" style="2" customWidth="1"/>
    <col min="522" max="522" width="19" style="2" customWidth="1"/>
    <col min="523" max="523" width="26.7109375" style="2" customWidth="1"/>
    <col min="524" max="524" width="31.5703125" style="2" customWidth="1"/>
    <col min="525" max="525" width="17.7109375" style="2" customWidth="1"/>
    <col min="526" max="526" width="18.5703125" style="2" customWidth="1"/>
    <col min="527" max="527" width="21.7109375" style="2" customWidth="1"/>
    <col min="528" max="528" width="19.85546875" style="2" customWidth="1"/>
    <col min="529" max="529" width="34.140625" style="2" customWidth="1"/>
    <col min="530" max="530" width="17" style="2" customWidth="1"/>
    <col min="531" max="531" width="36.42578125" style="2" customWidth="1"/>
    <col min="532" max="532" width="26.5703125" style="2" customWidth="1"/>
    <col min="533" max="535" width="30.42578125" style="2" customWidth="1"/>
    <col min="536" max="585" width="0" style="2" hidden="1" customWidth="1"/>
    <col min="586" max="773" width="11.42578125" style="2"/>
    <col min="774" max="774" width="41.28515625" style="2" customWidth="1"/>
    <col min="775" max="776" width="40.42578125" style="2" customWidth="1"/>
    <col min="777" max="777" width="27" style="2" customWidth="1"/>
    <col min="778" max="778" width="19" style="2" customWidth="1"/>
    <col min="779" max="779" width="26.7109375" style="2" customWidth="1"/>
    <col min="780" max="780" width="31.5703125" style="2" customWidth="1"/>
    <col min="781" max="781" width="17.7109375" style="2" customWidth="1"/>
    <col min="782" max="782" width="18.5703125" style="2" customWidth="1"/>
    <col min="783" max="783" width="21.7109375" style="2" customWidth="1"/>
    <col min="784" max="784" width="19.85546875" style="2" customWidth="1"/>
    <col min="785" max="785" width="34.140625" style="2" customWidth="1"/>
    <col min="786" max="786" width="17" style="2" customWidth="1"/>
    <col min="787" max="787" width="36.42578125" style="2" customWidth="1"/>
    <col min="788" max="788" width="26.5703125" style="2" customWidth="1"/>
    <col min="789" max="791" width="30.42578125" style="2" customWidth="1"/>
    <col min="792" max="841" width="0" style="2" hidden="1" customWidth="1"/>
    <col min="842" max="1029" width="11.42578125" style="2"/>
    <col min="1030" max="1030" width="41.28515625" style="2" customWidth="1"/>
    <col min="1031" max="1032" width="40.42578125" style="2" customWidth="1"/>
    <col min="1033" max="1033" width="27" style="2" customWidth="1"/>
    <col min="1034" max="1034" width="19" style="2" customWidth="1"/>
    <col min="1035" max="1035" width="26.7109375" style="2" customWidth="1"/>
    <col min="1036" max="1036" width="31.5703125" style="2" customWidth="1"/>
    <col min="1037" max="1037" width="17.7109375" style="2" customWidth="1"/>
    <col min="1038" max="1038" width="18.5703125" style="2" customWidth="1"/>
    <col min="1039" max="1039" width="21.7109375" style="2" customWidth="1"/>
    <col min="1040" max="1040" width="19.85546875" style="2" customWidth="1"/>
    <col min="1041" max="1041" width="34.140625" style="2" customWidth="1"/>
    <col min="1042" max="1042" width="17" style="2" customWidth="1"/>
    <col min="1043" max="1043" width="36.42578125" style="2" customWidth="1"/>
    <col min="1044" max="1044" width="26.5703125" style="2" customWidth="1"/>
    <col min="1045" max="1047" width="30.42578125" style="2" customWidth="1"/>
    <col min="1048" max="1097" width="0" style="2" hidden="1" customWidth="1"/>
    <col min="1098" max="1285" width="11.42578125" style="2"/>
    <col min="1286" max="1286" width="41.28515625" style="2" customWidth="1"/>
    <col min="1287" max="1288" width="40.42578125" style="2" customWidth="1"/>
    <col min="1289" max="1289" width="27" style="2" customWidth="1"/>
    <col min="1290" max="1290" width="19" style="2" customWidth="1"/>
    <col min="1291" max="1291" width="26.7109375" style="2" customWidth="1"/>
    <col min="1292" max="1292" width="31.5703125" style="2" customWidth="1"/>
    <col min="1293" max="1293" width="17.7109375" style="2" customWidth="1"/>
    <col min="1294" max="1294" width="18.5703125" style="2" customWidth="1"/>
    <col min="1295" max="1295" width="21.7109375" style="2" customWidth="1"/>
    <col min="1296" max="1296" width="19.85546875" style="2" customWidth="1"/>
    <col min="1297" max="1297" width="34.140625" style="2" customWidth="1"/>
    <col min="1298" max="1298" width="17" style="2" customWidth="1"/>
    <col min="1299" max="1299" width="36.42578125" style="2" customWidth="1"/>
    <col min="1300" max="1300" width="26.5703125" style="2" customWidth="1"/>
    <col min="1301" max="1303" width="30.42578125" style="2" customWidth="1"/>
    <col min="1304" max="1353" width="0" style="2" hidden="1" customWidth="1"/>
    <col min="1354" max="1541" width="11.42578125" style="2"/>
    <col min="1542" max="1542" width="41.28515625" style="2" customWidth="1"/>
    <col min="1543" max="1544" width="40.42578125" style="2" customWidth="1"/>
    <col min="1545" max="1545" width="27" style="2" customWidth="1"/>
    <col min="1546" max="1546" width="19" style="2" customWidth="1"/>
    <col min="1547" max="1547" width="26.7109375" style="2" customWidth="1"/>
    <col min="1548" max="1548" width="31.5703125" style="2" customWidth="1"/>
    <col min="1549" max="1549" width="17.7109375" style="2" customWidth="1"/>
    <col min="1550" max="1550" width="18.5703125" style="2" customWidth="1"/>
    <col min="1551" max="1551" width="21.7109375" style="2" customWidth="1"/>
    <col min="1552" max="1552" width="19.85546875" style="2" customWidth="1"/>
    <col min="1553" max="1553" width="34.140625" style="2" customWidth="1"/>
    <col min="1554" max="1554" width="17" style="2" customWidth="1"/>
    <col min="1555" max="1555" width="36.42578125" style="2" customWidth="1"/>
    <col min="1556" max="1556" width="26.5703125" style="2" customWidth="1"/>
    <col min="1557" max="1559" width="30.42578125" style="2" customWidth="1"/>
    <col min="1560" max="1609" width="0" style="2" hidden="1" customWidth="1"/>
    <col min="1610" max="1797" width="11.42578125" style="2"/>
    <col min="1798" max="1798" width="41.28515625" style="2" customWidth="1"/>
    <col min="1799" max="1800" width="40.42578125" style="2" customWidth="1"/>
    <col min="1801" max="1801" width="27" style="2" customWidth="1"/>
    <col min="1802" max="1802" width="19" style="2" customWidth="1"/>
    <col min="1803" max="1803" width="26.7109375" style="2" customWidth="1"/>
    <col min="1804" max="1804" width="31.5703125" style="2" customWidth="1"/>
    <col min="1805" max="1805" width="17.7109375" style="2" customWidth="1"/>
    <col min="1806" max="1806" width="18.5703125" style="2" customWidth="1"/>
    <col min="1807" max="1807" width="21.7109375" style="2" customWidth="1"/>
    <col min="1808" max="1808" width="19.85546875" style="2" customWidth="1"/>
    <col min="1809" max="1809" width="34.140625" style="2" customWidth="1"/>
    <col min="1810" max="1810" width="17" style="2" customWidth="1"/>
    <col min="1811" max="1811" width="36.42578125" style="2" customWidth="1"/>
    <col min="1812" max="1812" width="26.5703125" style="2" customWidth="1"/>
    <col min="1813" max="1815" width="30.42578125" style="2" customWidth="1"/>
    <col min="1816" max="1865" width="0" style="2" hidden="1" customWidth="1"/>
    <col min="1866" max="2053" width="11.42578125" style="2"/>
    <col min="2054" max="2054" width="41.28515625" style="2" customWidth="1"/>
    <col min="2055" max="2056" width="40.42578125" style="2" customWidth="1"/>
    <col min="2057" max="2057" width="27" style="2" customWidth="1"/>
    <col min="2058" max="2058" width="19" style="2" customWidth="1"/>
    <col min="2059" max="2059" width="26.7109375" style="2" customWidth="1"/>
    <col min="2060" max="2060" width="31.5703125" style="2" customWidth="1"/>
    <col min="2061" max="2061" width="17.7109375" style="2" customWidth="1"/>
    <col min="2062" max="2062" width="18.5703125" style="2" customWidth="1"/>
    <col min="2063" max="2063" width="21.7109375" style="2" customWidth="1"/>
    <col min="2064" max="2064" width="19.85546875" style="2" customWidth="1"/>
    <col min="2065" max="2065" width="34.140625" style="2" customWidth="1"/>
    <col min="2066" max="2066" width="17" style="2" customWidth="1"/>
    <col min="2067" max="2067" width="36.42578125" style="2" customWidth="1"/>
    <col min="2068" max="2068" width="26.5703125" style="2" customWidth="1"/>
    <col min="2069" max="2071" width="30.42578125" style="2" customWidth="1"/>
    <col min="2072" max="2121" width="0" style="2" hidden="1" customWidth="1"/>
    <col min="2122" max="2309" width="11.42578125" style="2"/>
    <col min="2310" max="2310" width="41.28515625" style="2" customWidth="1"/>
    <col min="2311" max="2312" width="40.42578125" style="2" customWidth="1"/>
    <col min="2313" max="2313" width="27" style="2" customWidth="1"/>
    <col min="2314" max="2314" width="19" style="2" customWidth="1"/>
    <col min="2315" max="2315" width="26.7109375" style="2" customWidth="1"/>
    <col min="2316" max="2316" width="31.5703125" style="2" customWidth="1"/>
    <col min="2317" max="2317" width="17.7109375" style="2" customWidth="1"/>
    <col min="2318" max="2318" width="18.5703125" style="2" customWidth="1"/>
    <col min="2319" max="2319" width="21.7109375" style="2" customWidth="1"/>
    <col min="2320" max="2320" width="19.85546875" style="2" customWidth="1"/>
    <col min="2321" max="2321" width="34.140625" style="2" customWidth="1"/>
    <col min="2322" max="2322" width="17" style="2" customWidth="1"/>
    <col min="2323" max="2323" width="36.42578125" style="2" customWidth="1"/>
    <col min="2324" max="2324" width="26.5703125" style="2" customWidth="1"/>
    <col min="2325" max="2327" width="30.42578125" style="2" customWidth="1"/>
    <col min="2328" max="2377" width="0" style="2" hidden="1" customWidth="1"/>
    <col min="2378" max="2565" width="11.42578125" style="2"/>
    <col min="2566" max="2566" width="41.28515625" style="2" customWidth="1"/>
    <col min="2567" max="2568" width="40.42578125" style="2" customWidth="1"/>
    <col min="2569" max="2569" width="27" style="2" customWidth="1"/>
    <col min="2570" max="2570" width="19" style="2" customWidth="1"/>
    <col min="2571" max="2571" width="26.7109375" style="2" customWidth="1"/>
    <col min="2572" max="2572" width="31.5703125" style="2" customWidth="1"/>
    <col min="2573" max="2573" width="17.7109375" style="2" customWidth="1"/>
    <col min="2574" max="2574" width="18.5703125" style="2" customWidth="1"/>
    <col min="2575" max="2575" width="21.7109375" style="2" customWidth="1"/>
    <col min="2576" max="2576" width="19.85546875" style="2" customWidth="1"/>
    <col min="2577" max="2577" width="34.140625" style="2" customWidth="1"/>
    <col min="2578" max="2578" width="17" style="2" customWidth="1"/>
    <col min="2579" max="2579" width="36.42578125" style="2" customWidth="1"/>
    <col min="2580" max="2580" width="26.5703125" style="2" customWidth="1"/>
    <col min="2581" max="2583" width="30.42578125" style="2" customWidth="1"/>
    <col min="2584" max="2633" width="0" style="2" hidden="1" customWidth="1"/>
    <col min="2634" max="2821" width="11.42578125" style="2"/>
    <col min="2822" max="2822" width="41.28515625" style="2" customWidth="1"/>
    <col min="2823" max="2824" width="40.42578125" style="2" customWidth="1"/>
    <col min="2825" max="2825" width="27" style="2" customWidth="1"/>
    <col min="2826" max="2826" width="19" style="2" customWidth="1"/>
    <col min="2827" max="2827" width="26.7109375" style="2" customWidth="1"/>
    <col min="2828" max="2828" width="31.5703125" style="2" customWidth="1"/>
    <col min="2829" max="2829" width="17.7109375" style="2" customWidth="1"/>
    <col min="2830" max="2830" width="18.5703125" style="2" customWidth="1"/>
    <col min="2831" max="2831" width="21.7109375" style="2" customWidth="1"/>
    <col min="2832" max="2832" width="19.85546875" style="2" customWidth="1"/>
    <col min="2833" max="2833" width="34.140625" style="2" customWidth="1"/>
    <col min="2834" max="2834" width="17" style="2" customWidth="1"/>
    <col min="2835" max="2835" width="36.42578125" style="2" customWidth="1"/>
    <col min="2836" max="2836" width="26.5703125" style="2" customWidth="1"/>
    <col min="2837" max="2839" width="30.42578125" style="2" customWidth="1"/>
    <col min="2840" max="2889" width="0" style="2" hidden="1" customWidth="1"/>
    <col min="2890" max="3077" width="11.42578125" style="2"/>
    <col min="3078" max="3078" width="41.28515625" style="2" customWidth="1"/>
    <col min="3079" max="3080" width="40.42578125" style="2" customWidth="1"/>
    <col min="3081" max="3081" width="27" style="2" customWidth="1"/>
    <col min="3082" max="3082" width="19" style="2" customWidth="1"/>
    <col min="3083" max="3083" width="26.7109375" style="2" customWidth="1"/>
    <col min="3084" max="3084" width="31.5703125" style="2" customWidth="1"/>
    <col min="3085" max="3085" width="17.7109375" style="2" customWidth="1"/>
    <col min="3086" max="3086" width="18.5703125" style="2" customWidth="1"/>
    <col min="3087" max="3087" width="21.7109375" style="2" customWidth="1"/>
    <col min="3088" max="3088" width="19.85546875" style="2" customWidth="1"/>
    <col min="3089" max="3089" width="34.140625" style="2" customWidth="1"/>
    <col min="3090" max="3090" width="17" style="2" customWidth="1"/>
    <col min="3091" max="3091" width="36.42578125" style="2" customWidth="1"/>
    <col min="3092" max="3092" width="26.5703125" style="2" customWidth="1"/>
    <col min="3093" max="3095" width="30.42578125" style="2" customWidth="1"/>
    <col min="3096" max="3145" width="0" style="2" hidden="1" customWidth="1"/>
    <col min="3146" max="3333" width="11.42578125" style="2"/>
    <col min="3334" max="3334" width="41.28515625" style="2" customWidth="1"/>
    <col min="3335" max="3336" width="40.42578125" style="2" customWidth="1"/>
    <col min="3337" max="3337" width="27" style="2" customWidth="1"/>
    <col min="3338" max="3338" width="19" style="2" customWidth="1"/>
    <col min="3339" max="3339" width="26.7109375" style="2" customWidth="1"/>
    <col min="3340" max="3340" width="31.5703125" style="2" customWidth="1"/>
    <col min="3341" max="3341" width="17.7109375" style="2" customWidth="1"/>
    <col min="3342" max="3342" width="18.5703125" style="2" customWidth="1"/>
    <col min="3343" max="3343" width="21.7109375" style="2" customWidth="1"/>
    <col min="3344" max="3344" width="19.85546875" style="2" customWidth="1"/>
    <col min="3345" max="3345" width="34.140625" style="2" customWidth="1"/>
    <col min="3346" max="3346" width="17" style="2" customWidth="1"/>
    <col min="3347" max="3347" width="36.42578125" style="2" customWidth="1"/>
    <col min="3348" max="3348" width="26.5703125" style="2" customWidth="1"/>
    <col min="3349" max="3351" width="30.42578125" style="2" customWidth="1"/>
    <col min="3352" max="3401" width="0" style="2" hidden="1" customWidth="1"/>
    <col min="3402" max="3589" width="11.42578125" style="2"/>
    <col min="3590" max="3590" width="41.28515625" style="2" customWidth="1"/>
    <col min="3591" max="3592" width="40.42578125" style="2" customWidth="1"/>
    <col min="3593" max="3593" width="27" style="2" customWidth="1"/>
    <col min="3594" max="3594" width="19" style="2" customWidth="1"/>
    <col min="3595" max="3595" width="26.7109375" style="2" customWidth="1"/>
    <col min="3596" max="3596" width="31.5703125" style="2" customWidth="1"/>
    <col min="3597" max="3597" width="17.7109375" style="2" customWidth="1"/>
    <col min="3598" max="3598" width="18.5703125" style="2" customWidth="1"/>
    <col min="3599" max="3599" width="21.7109375" style="2" customWidth="1"/>
    <col min="3600" max="3600" width="19.85546875" style="2" customWidth="1"/>
    <col min="3601" max="3601" width="34.140625" style="2" customWidth="1"/>
    <col min="3602" max="3602" width="17" style="2" customWidth="1"/>
    <col min="3603" max="3603" width="36.42578125" style="2" customWidth="1"/>
    <col min="3604" max="3604" width="26.5703125" style="2" customWidth="1"/>
    <col min="3605" max="3607" width="30.42578125" style="2" customWidth="1"/>
    <col min="3608" max="3657" width="0" style="2" hidden="1" customWidth="1"/>
    <col min="3658" max="3845" width="11.42578125" style="2"/>
    <col min="3846" max="3846" width="41.28515625" style="2" customWidth="1"/>
    <col min="3847" max="3848" width="40.42578125" style="2" customWidth="1"/>
    <col min="3849" max="3849" width="27" style="2" customWidth="1"/>
    <col min="3850" max="3850" width="19" style="2" customWidth="1"/>
    <col min="3851" max="3851" width="26.7109375" style="2" customWidth="1"/>
    <col min="3852" max="3852" width="31.5703125" style="2" customWidth="1"/>
    <col min="3853" max="3853" width="17.7109375" style="2" customWidth="1"/>
    <col min="3854" max="3854" width="18.5703125" style="2" customWidth="1"/>
    <col min="3855" max="3855" width="21.7109375" style="2" customWidth="1"/>
    <col min="3856" max="3856" width="19.85546875" style="2" customWidth="1"/>
    <col min="3857" max="3857" width="34.140625" style="2" customWidth="1"/>
    <col min="3858" max="3858" width="17" style="2" customWidth="1"/>
    <col min="3859" max="3859" width="36.42578125" style="2" customWidth="1"/>
    <col min="3860" max="3860" width="26.5703125" style="2" customWidth="1"/>
    <col min="3861" max="3863" width="30.42578125" style="2" customWidth="1"/>
    <col min="3864" max="3913" width="0" style="2" hidden="1" customWidth="1"/>
    <col min="3914" max="4101" width="11.42578125" style="2"/>
    <col min="4102" max="4102" width="41.28515625" style="2" customWidth="1"/>
    <col min="4103" max="4104" width="40.42578125" style="2" customWidth="1"/>
    <col min="4105" max="4105" width="27" style="2" customWidth="1"/>
    <col min="4106" max="4106" width="19" style="2" customWidth="1"/>
    <col min="4107" max="4107" width="26.7109375" style="2" customWidth="1"/>
    <col min="4108" max="4108" width="31.5703125" style="2" customWidth="1"/>
    <col min="4109" max="4109" width="17.7109375" style="2" customWidth="1"/>
    <col min="4110" max="4110" width="18.5703125" style="2" customWidth="1"/>
    <col min="4111" max="4111" width="21.7109375" style="2" customWidth="1"/>
    <col min="4112" max="4112" width="19.85546875" style="2" customWidth="1"/>
    <col min="4113" max="4113" width="34.140625" style="2" customWidth="1"/>
    <col min="4114" max="4114" width="17" style="2" customWidth="1"/>
    <col min="4115" max="4115" width="36.42578125" style="2" customWidth="1"/>
    <col min="4116" max="4116" width="26.5703125" style="2" customWidth="1"/>
    <col min="4117" max="4119" width="30.42578125" style="2" customWidth="1"/>
    <col min="4120" max="4169" width="0" style="2" hidden="1" customWidth="1"/>
    <col min="4170" max="4357" width="11.42578125" style="2"/>
    <col min="4358" max="4358" width="41.28515625" style="2" customWidth="1"/>
    <col min="4359" max="4360" width="40.42578125" style="2" customWidth="1"/>
    <col min="4361" max="4361" width="27" style="2" customWidth="1"/>
    <col min="4362" max="4362" width="19" style="2" customWidth="1"/>
    <col min="4363" max="4363" width="26.7109375" style="2" customWidth="1"/>
    <col min="4364" max="4364" width="31.5703125" style="2" customWidth="1"/>
    <col min="4365" max="4365" width="17.7109375" style="2" customWidth="1"/>
    <col min="4366" max="4366" width="18.5703125" style="2" customWidth="1"/>
    <col min="4367" max="4367" width="21.7109375" style="2" customWidth="1"/>
    <col min="4368" max="4368" width="19.85546875" style="2" customWidth="1"/>
    <col min="4369" max="4369" width="34.140625" style="2" customWidth="1"/>
    <col min="4370" max="4370" width="17" style="2" customWidth="1"/>
    <col min="4371" max="4371" width="36.42578125" style="2" customWidth="1"/>
    <col min="4372" max="4372" width="26.5703125" style="2" customWidth="1"/>
    <col min="4373" max="4375" width="30.42578125" style="2" customWidth="1"/>
    <col min="4376" max="4425" width="0" style="2" hidden="1" customWidth="1"/>
    <col min="4426" max="4613" width="11.42578125" style="2"/>
    <col min="4614" max="4614" width="41.28515625" style="2" customWidth="1"/>
    <col min="4615" max="4616" width="40.42578125" style="2" customWidth="1"/>
    <col min="4617" max="4617" width="27" style="2" customWidth="1"/>
    <col min="4618" max="4618" width="19" style="2" customWidth="1"/>
    <col min="4619" max="4619" width="26.7109375" style="2" customWidth="1"/>
    <col min="4620" max="4620" width="31.5703125" style="2" customWidth="1"/>
    <col min="4621" max="4621" width="17.7109375" style="2" customWidth="1"/>
    <col min="4622" max="4622" width="18.5703125" style="2" customWidth="1"/>
    <col min="4623" max="4623" width="21.7109375" style="2" customWidth="1"/>
    <col min="4624" max="4624" width="19.85546875" style="2" customWidth="1"/>
    <col min="4625" max="4625" width="34.140625" style="2" customWidth="1"/>
    <col min="4626" max="4626" width="17" style="2" customWidth="1"/>
    <col min="4627" max="4627" width="36.42578125" style="2" customWidth="1"/>
    <col min="4628" max="4628" width="26.5703125" style="2" customWidth="1"/>
    <col min="4629" max="4631" width="30.42578125" style="2" customWidth="1"/>
    <col min="4632" max="4681" width="0" style="2" hidden="1" customWidth="1"/>
    <col min="4682" max="4869" width="11.42578125" style="2"/>
    <col min="4870" max="4870" width="41.28515625" style="2" customWidth="1"/>
    <col min="4871" max="4872" width="40.42578125" style="2" customWidth="1"/>
    <col min="4873" max="4873" width="27" style="2" customWidth="1"/>
    <col min="4874" max="4874" width="19" style="2" customWidth="1"/>
    <col min="4875" max="4875" width="26.7109375" style="2" customWidth="1"/>
    <col min="4876" max="4876" width="31.5703125" style="2" customWidth="1"/>
    <col min="4877" max="4877" width="17.7109375" style="2" customWidth="1"/>
    <col min="4878" max="4878" width="18.5703125" style="2" customWidth="1"/>
    <col min="4879" max="4879" width="21.7109375" style="2" customWidth="1"/>
    <col min="4880" max="4880" width="19.85546875" style="2" customWidth="1"/>
    <col min="4881" max="4881" width="34.140625" style="2" customWidth="1"/>
    <col min="4882" max="4882" width="17" style="2" customWidth="1"/>
    <col min="4883" max="4883" width="36.42578125" style="2" customWidth="1"/>
    <col min="4884" max="4884" width="26.5703125" style="2" customWidth="1"/>
    <col min="4885" max="4887" width="30.42578125" style="2" customWidth="1"/>
    <col min="4888" max="4937" width="0" style="2" hidden="1" customWidth="1"/>
    <col min="4938" max="5125" width="11.42578125" style="2"/>
    <col min="5126" max="5126" width="41.28515625" style="2" customWidth="1"/>
    <col min="5127" max="5128" width="40.42578125" style="2" customWidth="1"/>
    <col min="5129" max="5129" width="27" style="2" customWidth="1"/>
    <col min="5130" max="5130" width="19" style="2" customWidth="1"/>
    <col min="5131" max="5131" width="26.7109375" style="2" customWidth="1"/>
    <col min="5132" max="5132" width="31.5703125" style="2" customWidth="1"/>
    <col min="5133" max="5133" width="17.7109375" style="2" customWidth="1"/>
    <col min="5134" max="5134" width="18.5703125" style="2" customWidth="1"/>
    <col min="5135" max="5135" width="21.7109375" style="2" customWidth="1"/>
    <col min="5136" max="5136" width="19.85546875" style="2" customWidth="1"/>
    <col min="5137" max="5137" width="34.140625" style="2" customWidth="1"/>
    <col min="5138" max="5138" width="17" style="2" customWidth="1"/>
    <col min="5139" max="5139" width="36.42578125" style="2" customWidth="1"/>
    <col min="5140" max="5140" width="26.5703125" style="2" customWidth="1"/>
    <col min="5141" max="5143" width="30.42578125" style="2" customWidth="1"/>
    <col min="5144" max="5193" width="0" style="2" hidden="1" customWidth="1"/>
    <col min="5194" max="5381" width="11.42578125" style="2"/>
    <col min="5382" max="5382" width="41.28515625" style="2" customWidth="1"/>
    <col min="5383" max="5384" width="40.42578125" style="2" customWidth="1"/>
    <col min="5385" max="5385" width="27" style="2" customWidth="1"/>
    <col min="5386" max="5386" width="19" style="2" customWidth="1"/>
    <col min="5387" max="5387" width="26.7109375" style="2" customWidth="1"/>
    <col min="5388" max="5388" width="31.5703125" style="2" customWidth="1"/>
    <col min="5389" max="5389" width="17.7109375" style="2" customWidth="1"/>
    <col min="5390" max="5390" width="18.5703125" style="2" customWidth="1"/>
    <col min="5391" max="5391" width="21.7109375" style="2" customWidth="1"/>
    <col min="5392" max="5392" width="19.85546875" style="2" customWidth="1"/>
    <col min="5393" max="5393" width="34.140625" style="2" customWidth="1"/>
    <col min="5394" max="5394" width="17" style="2" customWidth="1"/>
    <col min="5395" max="5395" width="36.42578125" style="2" customWidth="1"/>
    <col min="5396" max="5396" width="26.5703125" style="2" customWidth="1"/>
    <col min="5397" max="5399" width="30.42578125" style="2" customWidth="1"/>
    <col min="5400" max="5449" width="0" style="2" hidden="1" customWidth="1"/>
    <col min="5450" max="5637" width="11.42578125" style="2"/>
    <col min="5638" max="5638" width="41.28515625" style="2" customWidth="1"/>
    <col min="5639" max="5640" width="40.42578125" style="2" customWidth="1"/>
    <col min="5641" max="5641" width="27" style="2" customWidth="1"/>
    <col min="5642" max="5642" width="19" style="2" customWidth="1"/>
    <col min="5643" max="5643" width="26.7109375" style="2" customWidth="1"/>
    <col min="5644" max="5644" width="31.5703125" style="2" customWidth="1"/>
    <col min="5645" max="5645" width="17.7109375" style="2" customWidth="1"/>
    <col min="5646" max="5646" width="18.5703125" style="2" customWidth="1"/>
    <col min="5647" max="5647" width="21.7109375" style="2" customWidth="1"/>
    <col min="5648" max="5648" width="19.85546875" style="2" customWidth="1"/>
    <col min="5649" max="5649" width="34.140625" style="2" customWidth="1"/>
    <col min="5650" max="5650" width="17" style="2" customWidth="1"/>
    <col min="5651" max="5651" width="36.42578125" style="2" customWidth="1"/>
    <col min="5652" max="5652" width="26.5703125" style="2" customWidth="1"/>
    <col min="5653" max="5655" width="30.42578125" style="2" customWidth="1"/>
    <col min="5656" max="5705" width="0" style="2" hidden="1" customWidth="1"/>
    <col min="5706" max="5893" width="11.42578125" style="2"/>
    <col min="5894" max="5894" width="41.28515625" style="2" customWidth="1"/>
    <col min="5895" max="5896" width="40.42578125" style="2" customWidth="1"/>
    <col min="5897" max="5897" width="27" style="2" customWidth="1"/>
    <col min="5898" max="5898" width="19" style="2" customWidth="1"/>
    <col min="5899" max="5899" width="26.7109375" style="2" customWidth="1"/>
    <col min="5900" max="5900" width="31.5703125" style="2" customWidth="1"/>
    <col min="5901" max="5901" width="17.7109375" style="2" customWidth="1"/>
    <col min="5902" max="5902" width="18.5703125" style="2" customWidth="1"/>
    <col min="5903" max="5903" width="21.7109375" style="2" customWidth="1"/>
    <col min="5904" max="5904" width="19.85546875" style="2" customWidth="1"/>
    <col min="5905" max="5905" width="34.140625" style="2" customWidth="1"/>
    <col min="5906" max="5906" width="17" style="2" customWidth="1"/>
    <col min="5907" max="5907" width="36.42578125" style="2" customWidth="1"/>
    <col min="5908" max="5908" width="26.5703125" style="2" customWidth="1"/>
    <col min="5909" max="5911" width="30.42578125" style="2" customWidth="1"/>
    <col min="5912" max="5961" width="0" style="2" hidden="1" customWidth="1"/>
    <col min="5962" max="6149" width="11.42578125" style="2"/>
    <col min="6150" max="6150" width="41.28515625" style="2" customWidth="1"/>
    <col min="6151" max="6152" width="40.42578125" style="2" customWidth="1"/>
    <col min="6153" max="6153" width="27" style="2" customWidth="1"/>
    <col min="6154" max="6154" width="19" style="2" customWidth="1"/>
    <col min="6155" max="6155" width="26.7109375" style="2" customWidth="1"/>
    <col min="6156" max="6156" width="31.5703125" style="2" customWidth="1"/>
    <col min="6157" max="6157" width="17.7109375" style="2" customWidth="1"/>
    <col min="6158" max="6158" width="18.5703125" style="2" customWidth="1"/>
    <col min="6159" max="6159" width="21.7109375" style="2" customWidth="1"/>
    <col min="6160" max="6160" width="19.85546875" style="2" customWidth="1"/>
    <col min="6161" max="6161" width="34.140625" style="2" customWidth="1"/>
    <col min="6162" max="6162" width="17" style="2" customWidth="1"/>
    <col min="6163" max="6163" width="36.42578125" style="2" customWidth="1"/>
    <col min="6164" max="6164" width="26.5703125" style="2" customWidth="1"/>
    <col min="6165" max="6167" width="30.42578125" style="2" customWidth="1"/>
    <col min="6168" max="6217" width="0" style="2" hidden="1" customWidth="1"/>
    <col min="6218" max="6405" width="11.42578125" style="2"/>
    <col min="6406" max="6406" width="41.28515625" style="2" customWidth="1"/>
    <col min="6407" max="6408" width="40.42578125" style="2" customWidth="1"/>
    <col min="6409" max="6409" width="27" style="2" customWidth="1"/>
    <col min="6410" max="6410" width="19" style="2" customWidth="1"/>
    <col min="6411" max="6411" width="26.7109375" style="2" customWidth="1"/>
    <col min="6412" max="6412" width="31.5703125" style="2" customWidth="1"/>
    <col min="6413" max="6413" width="17.7109375" style="2" customWidth="1"/>
    <col min="6414" max="6414" width="18.5703125" style="2" customWidth="1"/>
    <col min="6415" max="6415" width="21.7109375" style="2" customWidth="1"/>
    <col min="6416" max="6416" width="19.85546875" style="2" customWidth="1"/>
    <col min="6417" max="6417" width="34.140625" style="2" customWidth="1"/>
    <col min="6418" max="6418" width="17" style="2" customWidth="1"/>
    <col min="6419" max="6419" width="36.42578125" style="2" customWidth="1"/>
    <col min="6420" max="6420" width="26.5703125" style="2" customWidth="1"/>
    <col min="6421" max="6423" width="30.42578125" style="2" customWidth="1"/>
    <col min="6424" max="6473" width="0" style="2" hidden="1" customWidth="1"/>
    <col min="6474" max="6661" width="11.42578125" style="2"/>
    <col min="6662" max="6662" width="41.28515625" style="2" customWidth="1"/>
    <col min="6663" max="6664" width="40.42578125" style="2" customWidth="1"/>
    <col min="6665" max="6665" width="27" style="2" customWidth="1"/>
    <col min="6666" max="6666" width="19" style="2" customWidth="1"/>
    <col min="6667" max="6667" width="26.7109375" style="2" customWidth="1"/>
    <col min="6668" max="6668" width="31.5703125" style="2" customWidth="1"/>
    <col min="6669" max="6669" width="17.7109375" style="2" customWidth="1"/>
    <col min="6670" max="6670" width="18.5703125" style="2" customWidth="1"/>
    <col min="6671" max="6671" width="21.7109375" style="2" customWidth="1"/>
    <col min="6672" max="6672" width="19.85546875" style="2" customWidth="1"/>
    <col min="6673" max="6673" width="34.140625" style="2" customWidth="1"/>
    <col min="6674" max="6674" width="17" style="2" customWidth="1"/>
    <col min="6675" max="6675" width="36.42578125" style="2" customWidth="1"/>
    <col min="6676" max="6676" width="26.5703125" style="2" customWidth="1"/>
    <col min="6677" max="6679" width="30.42578125" style="2" customWidth="1"/>
    <col min="6680" max="6729" width="0" style="2" hidden="1" customWidth="1"/>
    <col min="6730" max="6917" width="11.42578125" style="2"/>
    <col min="6918" max="6918" width="41.28515625" style="2" customWidth="1"/>
    <col min="6919" max="6920" width="40.42578125" style="2" customWidth="1"/>
    <col min="6921" max="6921" width="27" style="2" customWidth="1"/>
    <col min="6922" max="6922" width="19" style="2" customWidth="1"/>
    <col min="6923" max="6923" width="26.7109375" style="2" customWidth="1"/>
    <col min="6924" max="6924" width="31.5703125" style="2" customWidth="1"/>
    <col min="6925" max="6925" width="17.7109375" style="2" customWidth="1"/>
    <col min="6926" max="6926" width="18.5703125" style="2" customWidth="1"/>
    <col min="6927" max="6927" width="21.7109375" style="2" customWidth="1"/>
    <col min="6928" max="6928" width="19.85546875" style="2" customWidth="1"/>
    <col min="6929" max="6929" width="34.140625" style="2" customWidth="1"/>
    <col min="6930" max="6930" width="17" style="2" customWidth="1"/>
    <col min="6931" max="6931" width="36.42578125" style="2" customWidth="1"/>
    <col min="6932" max="6932" width="26.5703125" style="2" customWidth="1"/>
    <col min="6933" max="6935" width="30.42578125" style="2" customWidth="1"/>
    <col min="6936" max="6985" width="0" style="2" hidden="1" customWidth="1"/>
    <col min="6986" max="7173" width="11.42578125" style="2"/>
    <col min="7174" max="7174" width="41.28515625" style="2" customWidth="1"/>
    <col min="7175" max="7176" width="40.42578125" style="2" customWidth="1"/>
    <col min="7177" max="7177" width="27" style="2" customWidth="1"/>
    <col min="7178" max="7178" width="19" style="2" customWidth="1"/>
    <col min="7179" max="7179" width="26.7109375" style="2" customWidth="1"/>
    <col min="7180" max="7180" width="31.5703125" style="2" customWidth="1"/>
    <col min="7181" max="7181" width="17.7109375" style="2" customWidth="1"/>
    <col min="7182" max="7182" width="18.5703125" style="2" customWidth="1"/>
    <col min="7183" max="7183" width="21.7109375" style="2" customWidth="1"/>
    <col min="7184" max="7184" width="19.85546875" style="2" customWidth="1"/>
    <col min="7185" max="7185" width="34.140625" style="2" customWidth="1"/>
    <col min="7186" max="7186" width="17" style="2" customWidth="1"/>
    <col min="7187" max="7187" width="36.42578125" style="2" customWidth="1"/>
    <col min="7188" max="7188" width="26.5703125" style="2" customWidth="1"/>
    <col min="7189" max="7191" width="30.42578125" style="2" customWidth="1"/>
    <col min="7192" max="7241" width="0" style="2" hidden="1" customWidth="1"/>
    <col min="7242" max="7429" width="11.42578125" style="2"/>
    <col min="7430" max="7430" width="41.28515625" style="2" customWidth="1"/>
    <col min="7431" max="7432" width="40.42578125" style="2" customWidth="1"/>
    <col min="7433" max="7433" width="27" style="2" customWidth="1"/>
    <col min="7434" max="7434" width="19" style="2" customWidth="1"/>
    <col min="7435" max="7435" width="26.7109375" style="2" customWidth="1"/>
    <col min="7436" max="7436" width="31.5703125" style="2" customWidth="1"/>
    <col min="7437" max="7437" width="17.7109375" style="2" customWidth="1"/>
    <col min="7438" max="7438" width="18.5703125" style="2" customWidth="1"/>
    <col min="7439" max="7439" width="21.7109375" style="2" customWidth="1"/>
    <col min="7440" max="7440" width="19.85546875" style="2" customWidth="1"/>
    <col min="7441" max="7441" width="34.140625" style="2" customWidth="1"/>
    <col min="7442" max="7442" width="17" style="2" customWidth="1"/>
    <col min="7443" max="7443" width="36.42578125" style="2" customWidth="1"/>
    <col min="7444" max="7444" width="26.5703125" style="2" customWidth="1"/>
    <col min="7445" max="7447" width="30.42578125" style="2" customWidth="1"/>
    <col min="7448" max="7497" width="0" style="2" hidden="1" customWidth="1"/>
    <col min="7498" max="7685" width="11.42578125" style="2"/>
    <col min="7686" max="7686" width="41.28515625" style="2" customWidth="1"/>
    <col min="7687" max="7688" width="40.42578125" style="2" customWidth="1"/>
    <col min="7689" max="7689" width="27" style="2" customWidth="1"/>
    <col min="7690" max="7690" width="19" style="2" customWidth="1"/>
    <col min="7691" max="7691" width="26.7109375" style="2" customWidth="1"/>
    <col min="7692" max="7692" width="31.5703125" style="2" customWidth="1"/>
    <col min="7693" max="7693" width="17.7109375" style="2" customWidth="1"/>
    <col min="7694" max="7694" width="18.5703125" style="2" customWidth="1"/>
    <col min="7695" max="7695" width="21.7109375" style="2" customWidth="1"/>
    <col min="7696" max="7696" width="19.85546875" style="2" customWidth="1"/>
    <col min="7697" max="7697" width="34.140625" style="2" customWidth="1"/>
    <col min="7698" max="7698" width="17" style="2" customWidth="1"/>
    <col min="7699" max="7699" width="36.42578125" style="2" customWidth="1"/>
    <col min="7700" max="7700" width="26.5703125" style="2" customWidth="1"/>
    <col min="7701" max="7703" width="30.42578125" style="2" customWidth="1"/>
    <col min="7704" max="7753" width="0" style="2" hidden="1" customWidth="1"/>
    <col min="7754" max="7941" width="11.42578125" style="2"/>
    <col min="7942" max="7942" width="41.28515625" style="2" customWidth="1"/>
    <col min="7943" max="7944" width="40.42578125" style="2" customWidth="1"/>
    <col min="7945" max="7945" width="27" style="2" customWidth="1"/>
    <col min="7946" max="7946" width="19" style="2" customWidth="1"/>
    <col min="7947" max="7947" width="26.7109375" style="2" customWidth="1"/>
    <col min="7948" max="7948" width="31.5703125" style="2" customWidth="1"/>
    <col min="7949" max="7949" width="17.7109375" style="2" customWidth="1"/>
    <col min="7950" max="7950" width="18.5703125" style="2" customWidth="1"/>
    <col min="7951" max="7951" width="21.7109375" style="2" customWidth="1"/>
    <col min="7952" max="7952" width="19.85546875" style="2" customWidth="1"/>
    <col min="7953" max="7953" width="34.140625" style="2" customWidth="1"/>
    <col min="7954" max="7954" width="17" style="2" customWidth="1"/>
    <col min="7955" max="7955" width="36.42578125" style="2" customWidth="1"/>
    <col min="7956" max="7956" width="26.5703125" style="2" customWidth="1"/>
    <col min="7957" max="7959" width="30.42578125" style="2" customWidth="1"/>
    <col min="7960" max="8009" width="0" style="2" hidden="1" customWidth="1"/>
    <col min="8010" max="8197" width="11.42578125" style="2"/>
    <col min="8198" max="8198" width="41.28515625" style="2" customWidth="1"/>
    <col min="8199" max="8200" width="40.42578125" style="2" customWidth="1"/>
    <col min="8201" max="8201" width="27" style="2" customWidth="1"/>
    <col min="8202" max="8202" width="19" style="2" customWidth="1"/>
    <col min="8203" max="8203" width="26.7109375" style="2" customWidth="1"/>
    <col min="8204" max="8204" width="31.5703125" style="2" customWidth="1"/>
    <col min="8205" max="8205" width="17.7109375" style="2" customWidth="1"/>
    <col min="8206" max="8206" width="18.5703125" style="2" customWidth="1"/>
    <col min="8207" max="8207" width="21.7109375" style="2" customWidth="1"/>
    <col min="8208" max="8208" width="19.85546875" style="2" customWidth="1"/>
    <col min="8209" max="8209" width="34.140625" style="2" customWidth="1"/>
    <col min="8210" max="8210" width="17" style="2" customWidth="1"/>
    <col min="8211" max="8211" width="36.42578125" style="2" customWidth="1"/>
    <col min="8212" max="8212" width="26.5703125" style="2" customWidth="1"/>
    <col min="8213" max="8215" width="30.42578125" style="2" customWidth="1"/>
    <col min="8216" max="8265" width="0" style="2" hidden="1" customWidth="1"/>
    <col min="8266" max="8453" width="11.42578125" style="2"/>
    <col min="8454" max="8454" width="41.28515625" style="2" customWidth="1"/>
    <col min="8455" max="8456" width="40.42578125" style="2" customWidth="1"/>
    <col min="8457" max="8457" width="27" style="2" customWidth="1"/>
    <col min="8458" max="8458" width="19" style="2" customWidth="1"/>
    <col min="8459" max="8459" width="26.7109375" style="2" customWidth="1"/>
    <col min="8460" max="8460" width="31.5703125" style="2" customWidth="1"/>
    <col min="8461" max="8461" width="17.7109375" style="2" customWidth="1"/>
    <col min="8462" max="8462" width="18.5703125" style="2" customWidth="1"/>
    <col min="8463" max="8463" width="21.7109375" style="2" customWidth="1"/>
    <col min="8464" max="8464" width="19.85546875" style="2" customWidth="1"/>
    <col min="8465" max="8465" width="34.140625" style="2" customWidth="1"/>
    <col min="8466" max="8466" width="17" style="2" customWidth="1"/>
    <col min="8467" max="8467" width="36.42578125" style="2" customWidth="1"/>
    <col min="8468" max="8468" width="26.5703125" style="2" customWidth="1"/>
    <col min="8469" max="8471" width="30.42578125" style="2" customWidth="1"/>
    <col min="8472" max="8521" width="0" style="2" hidden="1" customWidth="1"/>
    <col min="8522" max="8709" width="11.42578125" style="2"/>
    <col min="8710" max="8710" width="41.28515625" style="2" customWidth="1"/>
    <col min="8711" max="8712" width="40.42578125" style="2" customWidth="1"/>
    <col min="8713" max="8713" width="27" style="2" customWidth="1"/>
    <col min="8714" max="8714" width="19" style="2" customWidth="1"/>
    <col min="8715" max="8715" width="26.7109375" style="2" customWidth="1"/>
    <col min="8716" max="8716" width="31.5703125" style="2" customWidth="1"/>
    <col min="8717" max="8717" width="17.7109375" style="2" customWidth="1"/>
    <col min="8718" max="8718" width="18.5703125" style="2" customWidth="1"/>
    <col min="8719" max="8719" width="21.7109375" style="2" customWidth="1"/>
    <col min="8720" max="8720" width="19.85546875" style="2" customWidth="1"/>
    <col min="8721" max="8721" width="34.140625" style="2" customWidth="1"/>
    <col min="8722" max="8722" width="17" style="2" customWidth="1"/>
    <col min="8723" max="8723" width="36.42578125" style="2" customWidth="1"/>
    <col min="8724" max="8724" width="26.5703125" style="2" customWidth="1"/>
    <col min="8725" max="8727" width="30.42578125" style="2" customWidth="1"/>
    <col min="8728" max="8777" width="0" style="2" hidden="1" customWidth="1"/>
    <col min="8778" max="8965" width="11.42578125" style="2"/>
    <col min="8966" max="8966" width="41.28515625" style="2" customWidth="1"/>
    <col min="8967" max="8968" width="40.42578125" style="2" customWidth="1"/>
    <col min="8969" max="8969" width="27" style="2" customWidth="1"/>
    <col min="8970" max="8970" width="19" style="2" customWidth="1"/>
    <col min="8971" max="8971" width="26.7109375" style="2" customWidth="1"/>
    <col min="8972" max="8972" width="31.5703125" style="2" customWidth="1"/>
    <col min="8973" max="8973" width="17.7109375" style="2" customWidth="1"/>
    <col min="8974" max="8974" width="18.5703125" style="2" customWidth="1"/>
    <col min="8975" max="8975" width="21.7109375" style="2" customWidth="1"/>
    <col min="8976" max="8976" width="19.85546875" style="2" customWidth="1"/>
    <col min="8977" max="8977" width="34.140625" style="2" customWidth="1"/>
    <col min="8978" max="8978" width="17" style="2" customWidth="1"/>
    <col min="8979" max="8979" width="36.42578125" style="2" customWidth="1"/>
    <col min="8980" max="8980" width="26.5703125" style="2" customWidth="1"/>
    <col min="8981" max="8983" width="30.42578125" style="2" customWidth="1"/>
    <col min="8984" max="9033" width="0" style="2" hidden="1" customWidth="1"/>
    <col min="9034" max="9221" width="11.42578125" style="2"/>
    <col min="9222" max="9222" width="41.28515625" style="2" customWidth="1"/>
    <col min="9223" max="9224" width="40.42578125" style="2" customWidth="1"/>
    <col min="9225" max="9225" width="27" style="2" customWidth="1"/>
    <col min="9226" max="9226" width="19" style="2" customWidth="1"/>
    <col min="9227" max="9227" width="26.7109375" style="2" customWidth="1"/>
    <col min="9228" max="9228" width="31.5703125" style="2" customWidth="1"/>
    <col min="9229" max="9229" width="17.7109375" style="2" customWidth="1"/>
    <col min="9230" max="9230" width="18.5703125" style="2" customWidth="1"/>
    <col min="9231" max="9231" width="21.7109375" style="2" customWidth="1"/>
    <col min="9232" max="9232" width="19.85546875" style="2" customWidth="1"/>
    <col min="9233" max="9233" width="34.140625" style="2" customWidth="1"/>
    <col min="9234" max="9234" width="17" style="2" customWidth="1"/>
    <col min="9235" max="9235" width="36.42578125" style="2" customWidth="1"/>
    <col min="9236" max="9236" width="26.5703125" style="2" customWidth="1"/>
    <col min="9237" max="9239" width="30.42578125" style="2" customWidth="1"/>
    <col min="9240" max="9289" width="0" style="2" hidden="1" customWidth="1"/>
    <col min="9290" max="9477" width="11.42578125" style="2"/>
    <col min="9478" max="9478" width="41.28515625" style="2" customWidth="1"/>
    <col min="9479" max="9480" width="40.42578125" style="2" customWidth="1"/>
    <col min="9481" max="9481" width="27" style="2" customWidth="1"/>
    <col min="9482" max="9482" width="19" style="2" customWidth="1"/>
    <col min="9483" max="9483" width="26.7109375" style="2" customWidth="1"/>
    <col min="9484" max="9484" width="31.5703125" style="2" customWidth="1"/>
    <col min="9485" max="9485" width="17.7109375" style="2" customWidth="1"/>
    <col min="9486" max="9486" width="18.5703125" style="2" customWidth="1"/>
    <col min="9487" max="9487" width="21.7109375" style="2" customWidth="1"/>
    <col min="9488" max="9488" width="19.85546875" style="2" customWidth="1"/>
    <col min="9489" max="9489" width="34.140625" style="2" customWidth="1"/>
    <col min="9490" max="9490" width="17" style="2" customWidth="1"/>
    <col min="9491" max="9491" width="36.42578125" style="2" customWidth="1"/>
    <col min="9492" max="9492" width="26.5703125" style="2" customWidth="1"/>
    <col min="9493" max="9495" width="30.42578125" style="2" customWidth="1"/>
    <col min="9496" max="9545" width="0" style="2" hidden="1" customWidth="1"/>
    <col min="9546" max="9733" width="11.42578125" style="2"/>
    <col min="9734" max="9734" width="41.28515625" style="2" customWidth="1"/>
    <col min="9735" max="9736" width="40.42578125" style="2" customWidth="1"/>
    <col min="9737" max="9737" width="27" style="2" customWidth="1"/>
    <col min="9738" max="9738" width="19" style="2" customWidth="1"/>
    <col min="9739" max="9739" width="26.7109375" style="2" customWidth="1"/>
    <col min="9740" max="9740" width="31.5703125" style="2" customWidth="1"/>
    <col min="9741" max="9741" width="17.7109375" style="2" customWidth="1"/>
    <col min="9742" max="9742" width="18.5703125" style="2" customWidth="1"/>
    <col min="9743" max="9743" width="21.7109375" style="2" customWidth="1"/>
    <col min="9744" max="9744" width="19.85546875" style="2" customWidth="1"/>
    <col min="9745" max="9745" width="34.140625" style="2" customWidth="1"/>
    <col min="9746" max="9746" width="17" style="2" customWidth="1"/>
    <col min="9747" max="9747" width="36.42578125" style="2" customWidth="1"/>
    <col min="9748" max="9748" width="26.5703125" style="2" customWidth="1"/>
    <col min="9749" max="9751" width="30.42578125" style="2" customWidth="1"/>
    <col min="9752" max="9801" width="0" style="2" hidden="1" customWidth="1"/>
    <col min="9802" max="9989" width="11.42578125" style="2"/>
    <col min="9990" max="9990" width="41.28515625" style="2" customWidth="1"/>
    <col min="9991" max="9992" width="40.42578125" style="2" customWidth="1"/>
    <col min="9993" max="9993" width="27" style="2" customWidth="1"/>
    <col min="9994" max="9994" width="19" style="2" customWidth="1"/>
    <col min="9995" max="9995" width="26.7109375" style="2" customWidth="1"/>
    <col min="9996" max="9996" width="31.5703125" style="2" customWidth="1"/>
    <col min="9997" max="9997" width="17.7109375" style="2" customWidth="1"/>
    <col min="9998" max="9998" width="18.5703125" style="2" customWidth="1"/>
    <col min="9999" max="9999" width="21.7109375" style="2" customWidth="1"/>
    <col min="10000" max="10000" width="19.85546875" style="2" customWidth="1"/>
    <col min="10001" max="10001" width="34.140625" style="2" customWidth="1"/>
    <col min="10002" max="10002" width="17" style="2" customWidth="1"/>
    <col min="10003" max="10003" width="36.42578125" style="2" customWidth="1"/>
    <col min="10004" max="10004" width="26.5703125" style="2" customWidth="1"/>
    <col min="10005" max="10007" width="30.42578125" style="2" customWidth="1"/>
    <col min="10008" max="10057" width="0" style="2" hidden="1" customWidth="1"/>
    <col min="10058" max="10245" width="11.42578125" style="2"/>
    <col min="10246" max="10246" width="41.28515625" style="2" customWidth="1"/>
    <col min="10247" max="10248" width="40.42578125" style="2" customWidth="1"/>
    <col min="10249" max="10249" width="27" style="2" customWidth="1"/>
    <col min="10250" max="10250" width="19" style="2" customWidth="1"/>
    <col min="10251" max="10251" width="26.7109375" style="2" customWidth="1"/>
    <col min="10252" max="10252" width="31.5703125" style="2" customWidth="1"/>
    <col min="10253" max="10253" width="17.7109375" style="2" customWidth="1"/>
    <col min="10254" max="10254" width="18.5703125" style="2" customWidth="1"/>
    <col min="10255" max="10255" width="21.7109375" style="2" customWidth="1"/>
    <col min="10256" max="10256" width="19.85546875" style="2" customWidth="1"/>
    <col min="10257" max="10257" width="34.140625" style="2" customWidth="1"/>
    <col min="10258" max="10258" width="17" style="2" customWidth="1"/>
    <col min="10259" max="10259" width="36.42578125" style="2" customWidth="1"/>
    <col min="10260" max="10260" width="26.5703125" style="2" customWidth="1"/>
    <col min="10261" max="10263" width="30.42578125" style="2" customWidth="1"/>
    <col min="10264" max="10313" width="0" style="2" hidden="1" customWidth="1"/>
    <col min="10314" max="10501" width="11.42578125" style="2"/>
    <col min="10502" max="10502" width="41.28515625" style="2" customWidth="1"/>
    <col min="10503" max="10504" width="40.42578125" style="2" customWidth="1"/>
    <col min="10505" max="10505" width="27" style="2" customWidth="1"/>
    <col min="10506" max="10506" width="19" style="2" customWidth="1"/>
    <col min="10507" max="10507" width="26.7109375" style="2" customWidth="1"/>
    <col min="10508" max="10508" width="31.5703125" style="2" customWidth="1"/>
    <col min="10509" max="10509" width="17.7109375" style="2" customWidth="1"/>
    <col min="10510" max="10510" width="18.5703125" style="2" customWidth="1"/>
    <col min="10511" max="10511" width="21.7109375" style="2" customWidth="1"/>
    <col min="10512" max="10512" width="19.85546875" style="2" customWidth="1"/>
    <col min="10513" max="10513" width="34.140625" style="2" customWidth="1"/>
    <col min="10514" max="10514" width="17" style="2" customWidth="1"/>
    <col min="10515" max="10515" width="36.42578125" style="2" customWidth="1"/>
    <col min="10516" max="10516" width="26.5703125" style="2" customWidth="1"/>
    <col min="10517" max="10519" width="30.42578125" style="2" customWidth="1"/>
    <col min="10520" max="10569" width="0" style="2" hidden="1" customWidth="1"/>
    <col min="10570" max="10757" width="11.42578125" style="2"/>
    <col min="10758" max="10758" width="41.28515625" style="2" customWidth="1"/>
    <col min="10759" max="10760" width="40.42578125" style="2" customWidth="1"/>
    <col min="10761" max="10761" width="27" style="2" customWidth="1"/>
    <col min="10762" max="10762" width="19" style="2" customWidth="1"/>
    <col min="10763" max="10763" width="26.7109375" style="2" customWidth="1"/>
    <col min="10764" max="10764" width="31.5703125" style="2" customWidth="1"/>
    <col min="10765" max="10765" width="17.7109375" style="2" customWidth="1"/>
    <col min="10766" max="10766" width="18.5703125" style="2" customWidth="1"/>
    <col min="10767" max="10767" width="21.7109375" style="2" customWidth="1"/>
    <col min="10768" max="10768" width="19.85546875" style="2" customWidth="1"/>
    <col min="10769" max="10769" width="34.140625" style="2" customWidth="1"/>
    <col min="10770" max="10770" width="17" style="2" customWidth="1"/>
    <col min="10771" max="10771" width="36.42578125" style="2" customWidth="1"/>
    <col min="10772" max="10772" width="26.5703125" style="2" customWidth="1"/>
    <col min="10773" max="10775" width="30.42578125" style="2" customWidth="1"/>
    <col min="10776" max="10825" width="0" style="2" hidden="1" customWidth="1"/>
    <col min="10826" max="11013" width="11.42578125" style="2"/>
    <col min="11014" max="11014" width="41.28515625" style="2" customWidth="1"/>
    <col min="11015" max="11016" width="40.42578125" style="2" customWidth="1"/>
    <col min="11017" max="11017" width="27" style="2" customWidth="1"/>
    <col min="11018" max="11018" width="19" style="2" customWidth="1"/>
    <col min="11019" max="11019" width="26.7109375" style="2" customWidth="1"/>
    <col min="11020" max="11020" width="31.5703125" style="2" customWidth="1"/>
    <col min="11021" max="11021" width="17.7109375" style="2" customWidth="1"/>
    <col min="11022" max="11022" width="18.5703125" style="2" customWidth="1"/>
    <col min="11023" max="11023" width="21.7109375" style="2" customWidth="1"/>
    <col min="11024" max="11024" width="19.85546875" style="2" customWidth="1"/>
    <col min="11025" max="11025" width="34.140625" style="2" customWidth="1"/>
    <col min="11026" max="11026" width="17" style="2" customWidth="1"/>
    <col min="11027" max="11027" width="36.42578125" style="2" customWidth="1"/>
    <col min="11028" max="11028" width="26.5703125" style="2" customWidth="1"/>
    <col min="11029" max="11031" width="30.42578125" style="2" customWidth="1"/>
    <col min="11032" max="11081" width="0" style="2" hidden="1" customWidth="1"/>
    <col min="11082" max="11269" width="11.42578125" style="2"/>
    <col min="11270" max="11270" width="41.28515625" style="2" customWidth="1"/>
    <col min="11271" max="11272" width="40.42578125" style="2" customWidth="1"/>
    <col min="11273" max="11273" width="27" style="2" customWidth="1"/>
    <col min="11274" max="11274" width="19" style="2" customWidth="1"/>
    <col min="11275" max="11275" width="26.7109375" style="2" customWidth="1"/>
    <col min="11276" max="11276" width="31.5703125" style="2" customWidth="1"/>
    <col min="11277" max="11277" width="17.7109375" style="2" customWidth="1"/>
    <col min="11278" max="11278" width="18.5703125" style="2" customWidth="1"/>
    <col min="11279" max="11279" width="21.7109375" style="2" customWidth="1"/>
    <col min="11280" max="11280" width="19.85546875" style="2" customWidth="1"/>
    <col min="11281" max="11281" width="34.140625" style="2" customWidth="1"/>
    <col min="11282" max="11282" width="17" style="2" customWidth="1"/>
    <col min="11283" max="11283" width="36.42578125" style="2" customWidth="1"/>
    <col min="11284" max="11284" width="26.5703125" style="2" customWidth="1"/>
    <col min="11285" max="11287" width="30.42578125" style="2" customWidth="1"/>
    <col min="11288" max="11337" width="0" style="2" hidden="1" customWidth="1"/>
    <col min="11338" max="11525" width="11.42578125" style="2"/>
    <col min="11526" max="11526" width="41.28515625" style="2" customWidth="1"/>
    <col min="11527" max="11528" width="40.42578125" style="2" customWidth="1"/>
    <col min="11529" max="11529" width="27" style="2" customWidth="1"/>
    <col min="11530" max="11530" width="19" style="2" customWidth="1"/>
    <col min="11531" max="11531" width="26.7109375" style="2" customWidth="1"/>
    <col min="11532" max="11532" width="31.5703125" style="2" customWidth="1"/>
    <col min="11533" max="11533" width="17.7109375" style="2" customWidth="1"/>
    <col min="11534" max="11534" width="18.5703125" style="2" customWidth="1"/>
    <col min="11535" max="11535" width="21.7109375" style="2" customWidth="1"/>
    <col min="11536" max="11536" width="19.85546875" style="2" customWidth="1"/>
    <col min="11537" max="11537" width="34.140625" style="2" customWidth="1"/>
    <col min="11538" max="11538" width="17" style="2" customWidth="1"/>
    <col min="11539" max="11539" width="36.42578125" style="2" customWidth="1"/>
    <col min="11540" max="11540" width="26.5703125" style="2" customWidth="1"/>
    <col min="11541" max="11543" width="30.42578125" style="2" customWidth="1"/>
    <col min="11544" max="11593" width="0" style="2" hidden="1" customWidth="1"/>
    <col min="11594" max="11781" width="11.42578125" style="2"/>
    <col min="11782" max="11782" width="41.28515625" style="2" customWidth="1"/>
    <col min="11783" max="11784" width="40.42578125" style="2" customWidth="1"/>
    <col min="11785" max="11785" width="27" style="2" customWidth="1"/>
    <col min="11786" max="11786" width="19" style="2" customWidth="1"/>
    <col min="11787" max="11787" width="26.7109375" style="2" customWidth="1"/>
    <col min="11788" max="11788" width="31.5703125" style="2" customWidth="1"/>
    <col min="11789" max="11789" width="17.7109375" style="2" customWidth="1"/>
    <col min="11790" max="11790" width="18.5703125" style="2" customWidth="1"/>
    <col min="11791" max="11791" width="21.7109375" style="2" customWidth="1"/>
    <col min="11792" max="11792" width="19.85546875" style="2" customWidth="1"/>
    <col min="11793" max="11793" width="34.140625" style="2" customWidth="1"/>
    <col min="11794" max="11794" width="17" style="2" customWidth="1"/>
    <col min="11795" max="11795" width="36.42578125" style="2" customWidth="1"/>
    <col min="11796" max="11796" width="26.5703125" style="2" customWidth="1"/>
    <col min="11797" max="11799" width="30.42578125" style="2" customWidth="1"/>
    <col min="11800" max="11849" width="0" style="2" hidden="1" customWidth="1"/>
    <col min="11850" max="12037" width="11.42578125" style="2"/>
    <col min="12038" max="12038" width="41.28515625" style="2" customWidth="1"/>
    <col min="12039" max="12040" width="40.42578125" style="2" customWidth="1"/>
    <col min="12041" max="12041" width="27" style="2" customWidth="1"/>
    <col min="12042" max="12042" width="19" style="2" customWidth="1"/>
    <col min="12043" max="12043" width="26.7109375" style="2" customWidth="1"/>
    <col min="12044" max="12044" width="31.5703125" style="2" customWidth="1"/>
    <col min="12045" max="12045" width="17.7109375" style="2" customWidth="1"/>
    <col min="12046" max="12046" width="18.5703125" style="2" customWidth="1"/>
    <col min="12047" max="12047" width="21.7109375" style="2" customWidth="1"/>
    <col min="12048" max="12048" width="19.85546875" style="2" customWidth="1"/>
    <col min="12049" max="12049" width="34.140625" style="2" customWidth="1"/>
    <col min="12050" max="12050" width="17" style="2" customWidth="1"/>
    <col min="12051" max="12051" width="36.42578125" style="2" customWidth="1"/>
    <col min="12052" max="12052" width="26.5703125" style="2" customWidth="1"/>
    <col min="12053" max="12055" width="30.42578125" style="2" customWidth="1"/>
    <col min="12056" max="12105" width="0" style="2" hidden="1" customWidth="1"/>
    <col min="12106" max="12293" width="11.42578125" style="2"/>
    <col min="12294" max="12294" width="41.28515625" style="2" customWidth="1"/>
    <col min="12295" max="12296" width="40.42578125" style="2" customWidth="1"/>
    <col min="12297" max="12297" width="27" style="2" customWidth="1"/>
    <col min="12298" max="12298" width="19" style="2" customWidth="1"/>
    <col min="12299" max="12299" width="26.7109375" style="2" customWidth="1"/>
    <col min="12300" max="12300" width="31.5703125" style="2" customWidth="1"/>
    <col min="12301" max="12301" width="17.7109375" style="2" customWidth="1"/>
    <col min="12302" max="12302" width="18.5703125" style="2" customWidth="1"/>
    <col min="12303" max="12303" width="21.7109375" style="2" customWidth="1"/>
    <col min="12304" max="12304" width="19.85546875" style="2" customWidth="1"/>
    <col min="12305" max="12305" width="34.140625" style="2" customWidth="1"/>
    <col min="12306" max="12306" width="17" style="2" customWidth="1"/>
    <col min="12307" max="12307" width="36.42578125" style="2" customWidth="1"/>
    <col min="12308" max="12308" width="26.5703125" style="2" customWidth="1"/>
    <col min="12309" max="12311" width="30.42578125" style="2" customWidth="1"/>
    <col min="12312" max="12361" width="0" style="2" hidden="1" customWidth="1"/>
    <col min="12362" max="12549" width="11.42578125" style="2"/>
    <col min="12550" max="12550" width="41.28515625" style="2" customWidth="1"/>
    <col min="12551" max="12552" width="40.42578125" style="2" customWidth="1"/>
    <col min="12553" max="12553" width="27" style="2" customWidth="1"/>
    <col min="12554" max="12554" width="19" style="2" customWidth="1"/>
    <col min="12555" max="12555" width="26.7109375" style="2" customWidth="1"/>
    <col min="12556" max="12556" width="31.5703125" style="2" customWidth="1"/>
    <col min="12557" max="12557" width="17.7109375" style="2" customWidth="1"/>
    <col min="12558" max="12558" width="18.5703125" style="2" customWidth="1"/>
    <col min="12559" max="12559" width="21.7109375" style="2" customWidth="1"/>
    <col min="12560" max="12560" width="19.85546875" style="2" customWidth="1"/>
    <col min="12561" max="12561" width="34.140625" style="2" customWidth="1"/>
    <col min="12562" max="12562" width="17" style="2" customWidth="1"/>
    <col min="12563" max="12563" width="36.42578125" style="2" customWidth="1"/>
    <col min="12564" max="12564" width="26.5703125" style="2" customWidth="1"/>
    <col min="12565" max="12567" width="30.42578125" style="2" customWidth="1"/>
    <col min="12568" max="12617" width="0" style="2" hidden="1" customWidth="1"/>
    <col min="12618" max="12805" width="11.42578125" style="2"/>
    <col min="12806" max="12806" width="41.28515625" style="2" customWidth="1"/>
    <col min="12807" max="12808" width="40.42578125" style="2" customWidth="1"/>
    <col min="12809" max="12809" width="27" style="2" customWidth="1"/>
    <col min="12810" max="12810" width="19" style="2" customWidth="1"/>
    <col min="12811" max="12811" width="26.7109375" style="2" customWidth="1"/>
    <col min="12812" max="12812" width="31.5703125" style="2" customWidth="1"/>
    <col min="12813" max="12813" width="17.7109375" style="2" customWidth="1"/>
    <col min="12814" max="12814" width="18.5703125" style="2" customWidth="1"/>
    <col min="12815" max="12815" width="21.7109375" style="2" customWidth="1"/>
    <col min="12816" max="12816" width="19.85546875" style="2" customWidth="1"/>
    <col min="12817" max="12817" width="34.140625" style="2" customWidth="1"/>
    <col min="12818" max="12818" width="17" style="2" customWidth="1"/>
    <col min="12819" max="12819" width="36.42578125" style="2" customWidth="1"/>
    <col min="12820" max="12820" width="26.5703125" style="2" customWidth="1"/>
    <col min="12821" max="12823" width="30.42578125" style="2" customWidth="1"/>
    <col min="12824" max="12873" width="0" style="2" hidden="1" customWidth="1"/>
    <col min="12874" max="13061" width="11.42578125" style="2"/>
    <col min="13062" max="13062" width="41.28515625" style="2" customWidth="1"/>
    <col min="13063" max="13064" width="40.42578125" style="2" customWidth="1"/>
    <col min="13065" max="13065" width="27" style="2" customWidth="1"/>
    <col min="13066" max="13066" width="19" style="2" customWidth="1"/>
    <col min="13067" max="13067" width="26.7109375" style="2" customWidth="1"/>
    <col min="13068" max="13068" width="31.5703125" style="2" customWidth="1"/>
    <col min="13069" max="13069" width="17.7109375" style="2" customWidth="1"/>
    <col min="13070" max="13070" width="18.5703125" style="2" customWidth="1"/>
    <col min="13071" max="13071" width="21.7109375" style="2" customWidth="1"/>
    <col min="13072" max="13072" width="19.85546875" style="2" customWidth="1"/>
    <col min="13073" max="13073" width="34.140625" style="2" customWidth="1"/>
    <col min="13074" max="13074" width="17" style="2" customWidth="1"/>
    <col min="13075" max="13075" width="36.42578125" style="2" customWidth="1"/>
    <col min="13076" max="13076" width="26.5703125" style="2" customWidth="1"/>
    <col min="13077" max="13079" width="30.42578125" style="2" customWidth="1"/>
    <col min="13080" max="13129" width="0" style="2" hidden="1" customWidth="1"/>
    <col min="13130" max="13317" width="11.42578125" style="2"/>
    <col min="13318" max="13318" width="41.28515625" style="2" customWidth="1"/>
    <col min="13319" max="13320" width="40.42578125" style="2" customWidth="1"/>
    <col min="13321" max="13321" width="27" style="2" customWidth="1"/>
    <col min="13322" max="13322" width="19" style="2" customWidth="1"/>
    <col min="13323" max="13323" width="26.7109375" style="2" customWidth="1"/>
    <col min="13324" max="13324" width="31.5703125" style="2" customWidth="1"/>
    <col min="13325" max="13325" width="17.7109375" style="2" customWidth="1"/>
    <col min="13326" max="13326" width="18.5703125" style="2" customWidth="1"/>
    <col min="13327" max="13327" width="21.7109375" style="2" customWidth="1"/>
    <col min="13328" max="13328" width="19.85546875" style="2" customWidth="1"/>
    <col min="13329" max="13329" width="34.140625" style="2" customWidth="1"/>
    <col min="13330" max="13330" width="17" style="2" customWidth="1"/>
    <col min="13331" max="13331" width="36.42578125" style="2" customWidth="1"/>
    <col min="13332" max="13332" width="26.5703125" style="2" customWidth="1"/>
    <col min="13333" max="13335" width="30.42578125" style="2" customWidth="1"/>
    <col min="13336" max="13385" width="0" style="2" hidden="1" customWidth="1"/>
    <col min="13386" max="13573" width="11.42578125" style="2"/>
    <col min="13574" max="13574" width="41.28515625" style="2" customWidth="1"/>
    <col min="13575" max="13576" width="40.42578125" style="2" customWidth="1"/>
    <col min="13577" max="13577" width="27" style="2" customWidth="1"/>
    <col min="13578" max="13578" width="19" style="2" customWidth="1"/>
    <col min="13579" max="13579" width="26.7109375" style="2" customWidth="1"/>
    <col min="13580" max="13580" width="31.5703125" style="2" customWidth="1"/>
    <col min="13581" max="13581" width="17.7109375" style="2" customWidth="1"/>
    <col min="13582" max="13582" width="18.5703125" style="2" customWidth="1"/>
    <col min="13583" max="13583" width="21.7109375" style="2" customWidth="1"/>
    <col min="13584" max="13584" width="19.85546875" style="2" customWidth="1"/>
    <col min="13585" max="13585" width="34.140625" style="2" customWidth="1"/>
    <col min="13586" max="13586" width="17" style="2" customWidth="1"/>
    <col min="13587" max="13587" width="36.42578125" style="2" customWidth="1"/>
    <col min="13588" max="13588" width="26.5703125" style="2" customWidth="1"/>
    <col min="13589" max="13591" width="30.42578125" style="2" customWidth="1"/>
    <col min="13592" max="13641" width="0" style="2" hidden="1" customWidth="1"/>
    <col min="13642" max="13829" width="11.42578125" style="2"/>
    <col min="13830" max="13830" width="41.28515625" style="2" customWidth="1"/>
    <col min="13831" max="13832" width="40.42578125" style="2" customWidth="1"/>
    <col min="13833" max="13833" width="27" style="2" customWidth="1"/>
    <col min="13834" max="13834" width="19" style="2" customWidth="1"/>
    <col min="13835" max="13835" width="26.7109375" style="2" customWidth="1"/>
    <col min="13836" max="13836" width="31.5703125" style="2" customWidth="1"/>
    <col min="13837" max="13837" width="17.7109375" style="2" customWidth="1"/>
    <col min="13838" max="13838" width="18.5703125" style="2" customWidth="1"/>
    <col min="13839" max="13839" width="21.7109375" style="2" customWidth="1"/>
    <col min="13840" max="13840" width="19.85546875" style="2" customWidth="1"/>
    <col min="13841" max="13841" width="34.140625" style="2" customWidth="1"/>
    <col min="13842" max="13842" width="17" style="2" customWidth="1"/>
    <col min="13843" max="13843" width="36.42578125" style="2" customWidth="1"/>
    <col min="13844" max="13844" width="26.5703125" style="2" customWidth="1"/>
    <col min="13845" max="13847" width="30.42578125" style="2" customWidth="1"/>
    <col min="13848" max="13897" width="0" style="2" hidden="1" customWidth="1"/>
    <col min="13898" max="14085" width="11.42578125" style="2"/>
    <col min="14086" max="14086" width="41.28515625" style="2" customWidth="1"/>
    <col min="14087" max="14088" width="40.42578125" style="2" customWidth="1"/>
    <col min="14089" max="14089" width="27" style="2" customWidth="1"/>
    <col min="14090" max="14090" width="19" style="2" customWidth="1"/>
    <col min="14091" max="14091" width="26.7109375" style="2" customWidth="1"/>
    <col min="14092" max="14092" width="31.5703125" style="2" customWidth="1"/>
    <col min="14093" max="14093" width="17.7109375" style="2" customWidth="1"/>
    <col min="14094" max="14094" width="18.5703125" style="2" customWidth="1"/>
    <col min="14095" max="14095" width="21.7109375" style="2" customWidth="1"/>
    <col min="14096" max="14096" width="19.85546875" style="2" customWidth="1"/>
    <col min="14097" max="14097" width="34.140625" style="2" customWidth="1"/>
    <col min="14098" max="14098" width="17" style="2" customWidth="1"/>
    <col min="14099" max="14099" width="36.42578125" style="2" customWidth="1"/>
    <col min="14100" max="14100" width="26.5703125" style="2" customWidth="1"/>
    <col min="14101" max="14103" width="30.42578125" style="2" customWidth="1"/>
    <col min="14104" max="14153" width="0" style="2" hidden="1" customWidth="1"/>
    <col min="14154" max="14341" width="11.42578125" style="2"/>
    <col min="14342" max="14342" width="41.28515625" style="2" customWidth="1"/>
    <col min="14343" max="14344" width="40.42578125" style="2" customWidth="1"/>
    <col min="14345" max="14345" width="27" style="2" customWidth="1"/>
    <col min="14346" max="14346" width="19" style="2" customWidth="1"/>
    <col min="14347" max="14347" width="26.7109375" style="2" customWidth="1"/>
    <col min="14348" max="14348" width="31.5703125" style="2" customWidth="1"/>
    <col min="14349" max="14349" width="17.7109375" style="2" customWidth="1"/>
    <col min="14350" max="14350" width="18.5703125" style="2" customWidth="1"/>
    <col min="14351" max="14351" width="21.7109375" style="2" customWidth="1"/>
    <col min="14352" max="14352" width="19.85546875" style="2" customWidth="1"/>
    <col min="14353" max="14353" width="34.140625" style="2" customWidth="1"/>
    <col min="14354" max="14354" width="17" style="2" customWidth="1"/>
    <col min="14355" max="14355" width="36.42578125" style="2" customWidth="1"/>
    <col min="14356" max="14356" width="26.5703125" style="2" customWidth="1"/>
    <col min="14357" max="14359" width="30.42578125" style="2" customWidth="1"/>
    <col min="14360" max="14409" width="0" style="2" hidden="1" customWidth="1"/>
    <col min="14410" max="14597" width="11.42578125" style="2"/>
    <col min="14598" max="14598" width="41.28515625" style="2" customWidth="1"/>
    <col min="14599" max="14600" width="40.42578125" style="2" customWidth="1"/>
    <col min="14601" max="14601" width="27" style="2" customWidth="1"/>
    <col min="14602" max="14602" width="19" style="2" customWidth="1"/>
    <col min="14603" max="14603" width="26.7109375" style="2" customWidth="1"/>
    <col min="14604" max="14604" width="31.5703125" style="2" customWidth="1"/>
    <col min="14605" max="14605" width="17.7109375" style="2" customWidth="1"/>
    <col min="14606" max="14606" width="18.5703125" style="2" customWidth="1"/>
    <col min="14607" max="14607" width="21.7109375" style="2" customWidth="1"/>
    <col min="14608" max="14608" width="19.85546875" style="2" customWidth="1"/>
    <col min="14609" max="14609" width="34.140625" style="2" customWidth="1"/>
    <col min="14610" max="14610" width="17" style="2" customWidth="1"/>
    <col min="14611" max="14611" width="36.42578125" style="2" customWidth="1"/>
    <col min="14612" max="14612" width="26.5703125" style="2" customWidth="1"/>
    <col min="14613" max="14615" width="30.42578125" style="2" customWidth="1"/>
    <col min="14616" max="14665" width="0" style="2" hidden="1" customWidth="1"/>
    <col min="14666" max="14853" width="11.42578125" style="2"/>
    <col min="14854" max="14854" width="41.28515625" style="2" customWidth="1"/>
    <col min="14855" max="14856" width="40.42578125" style="2" customWidth="1"/>
    <col min="14857" max="14857" width="27" style="2" customWidth="1"/>
    <col min="14858" max="14858" width="19" style="2" customWidth="1"/>
    <col min="14859" max="14859" width="26.7109375" style="2" customWidth="1"/>
    <col min="14860" max="14860" width="31.5703125" style="2" customWidth="1"/>
    <col min="14861" max="14861" width="17.7109375" style="2" customWidth="1"/>
    <col min="14862" max="14862" width="18.5703125" style="2" customWidth="1"/>
    <col min="14863" max="14863" width="21.7109375" style="2" customWidth="1"/>
    <col min="14864" max="14864" width="19.85546875" style="2" customWidth="1"/>
    <col min="14865" max="14865" width="34.140625" style="2" customWidth="1"/>
    <col min="14866" max="14866" width="17" style="2" customWidth="1"/>
    <col min="14867" max="14867" width="36.42578125" style="2" customWidth="1"/>
    <col min="14868" max="14868" width="26.5703125" style="2" customWidth="1"/>
    <col min="14869" max="14871" width="30.42578125" style="2" customWidth="1"/>
    <col min="14872" max="14921" width="0" style="2" hidden="1" customWidth="1"/>
    <col min="14922" max="15109" width="11.42578125" style="2"/>
    <col min="15110" max="15110" width="41.28515625" style="2" customWidth="1"/>
    <col min="15111" max="15112" width="40.42578125" style="2" customWidth="1"/>
    <col min="15113" max="15113" width="27" style="2" customWidth="1"/>
    <col min="15114" max="15114" width="19" style="2" customWidth="1"/>
    <col min="15115" max="15115" width="26.7109375" style="2" customWidth="1"/>
    <col min="15116" max="15116" width="31.5703125" style="2" customWidth="1"/>
    <col min="15117" max="15117" width="17.7109375" style="2" customWidth="1"/>
    <col min="15118" max="15118" width="18.5703125" style="2" customWidth="1"/>
    <col min="15119" max="15119" width="21.7109375" style="2" customWidth="1"/>
    <col min="15120" max="15120" width="19.85546875" style="2" customWidth="1"/>
    <col min="15121" max="15121" width="34.140625" style="2" customWidth="1"/>
    <col min="15122" max="15122" width="17" style="2" customWidth="1"/>
    <col min="15123" max="15123" width="36.42578125" style="2" customWidth="1"/>
    <col min="15124" max="15124" width="26.5703125" style="2" customWidth="1"/>
    <col min="15125" max="15127" width="30.42578125" style="2" customWidth="1"/>
    <col min="15128" max="15177" width="0" style="2" hidden="1" customWidth="1"/>
    <col min="15178" max="15365" width="11.42578125" style="2"/>
    <col min="15366" max="15366" width="41.28515625" style="2" customWidth="1"/>
    <col min="15367" max="15368" width="40.42578125" style="2" customWidth="1"/>
    <col min="15369" max="15369" width="27" style="2" customWidth="1"/>
    <col min="15370" max="15370" width="19" style="2" customWidth="1"/>
    <col min="15371" max="15371" width="26.7109375" style="2" customWidth="1"/>
    <col min="15372" max="15372" width="31.5703125" style="2" customWidth="1"/>
    <col min="15373" max="15373" width="17.7109375" style="2" customWidth="1"/>
    <col min="15374" max="15374" width="18.5703125" style="2" customWidth="1"/>
    <col min="15375" max="15375" width="21.7109375" style="2" customWidth="1"/>
    <col min="15376" max="15376" width="19.85546875" style="2" customWidth="1"/>
    <col min="15377" max="15377" width="34.140625" style="2" customWidth="1"/>
    <col min="15378" max="15378" width="17" style="2" customWidth="1"/>
    <col min="15379" max="15379" width="36.42578125" style="2" customWidth="1"/>
    <col min="15380" max="15380" width="26.5703125" style="2" customWidth="1"/>
    <col min="15381" max="15383" width="30.42578125" style="2" customWidth="1"/>
    <col min="15384" max="15433" width="0" style="2" hidden="1" customWidth="1"/>
    <col min="15434" max="15621" width="11.42578125" style="2"/>
    <col min="15622" max="15622" width="41.28515625" style="2" customWidth="1"/>
    <col min="15623" max="15624" width="40.42578125" style="2" customWidth="1"/>
    <col min="15625" max="15625" width="27" style="2" customWidth="1"/>
    <col min="15626" max="15626" width="19" style="2" customWidth="1"/>
    <col min="15627" max="15627" width="26.7109375" style="2" customWidth="1"/>
    <col min="15628" max="15628" width="31.5703125" style="2" customWidth="1"/>
    <col min="15629" max="15629" width="17.7109375" style="2" customWidth="1"/>
    <col min="15630" max="15630" width="18.5703125" style="2" customWidth="1"/>
    <col min="15631" max="15631" width="21.7109375" style="2" customWidth="1"/>
    <col min="15632" max="15632" width="19.85546875" style="2" customWidth="1"/>
    <col min="15633" max="15633" width="34.140625" style="2" customWidth="1"/>
    <col min="15634" max="15634" width="17" style="2" customWidth="1"/>
    <col min="15635" max="15635" width="36.42578125" style="2" customWidth="1"/>
    <col min="15636" max="15636" width="26.5703125" style="2" customWidth="1"/>
    <col min="15637" max="15639" width="30.42578125" style="2" customWidth="1"/>
    <col min="15640" max="15689" width="0" style="2" hidden="1" customWidth="1"/>
    <col min="15690" max="15877" width="11.42578125" style="2"/>
    <col min="15878" max="15878" width="41.28515625" style="2" customWidth="1"/>
    <col min="15879" max="15880" width="40.42578125" style="2" customWidth="1"/>
    <col min="15881" max="15881" width="27" style="2" customWidth="1"/>
    <col min="15882" max="15882" width="19" style="2" customWidth="1"/>
    <col min="15883" max="15883" width="26.7109375" style="2" customWidth="1"/>
    <col min="15884" max="15884" width="31.5703125" style="2" customWidth="1"/>
    <col min="15885" max="15885" width="17.7109375" style="2" customWidth="1"/>
    <col min="15886" max="15886" width="18.5703125" style="2" customWidth="1"/>
    <col min="15887" max="15887" width="21.7109375" style="2" customWidth="1"/>
    <col min="15888" max="15888" width="19.85546875" style="2" customWidth="1"/>
    <col min="15889" max="15889" width="34.140625" style="2" customWidth="1"/>
    <col min="15890" max="15890" width="17" style="2" customWidth="1"/>
    <col min="15891" max="15891" width="36.42578125" style="2" customWidth="1"/>
    <col min="15892" max="15892" width="26.5703125" style="2" customWidth="1"/>
    <col min="15893" max="15895" width="30.42578125" style="2" customWidth="1"/>
    <col min="15896" max="15945" width="0" style="2" hidden="1" customWidth="1"/>
    <col min="15946" max="16133" width="11.42578125" style="2"/>
    <col min="16134" max="16134" width="41.28515625" style="2" customWidth="1"/>
    <col min="16135" max="16136" width="40.42578125" style="2" customWidth="1"/>
    <col min="16137" max="16137" width="27" style="2" customWidth="1"/>
    <col min="16138" max="16138" width="19" style="2" customWidth="1"/>
    <col min="16139" max="16139" width="26.7109375" style="2" customWidth="1"/>
    <col min="16140" max="16140" width="31.5703125" style="2" customWidth="1"/>
    <col min="16141" max="16141" width="17.7109375" style="2" customWidth="1"/>
    <col min="16142" max="16142" width="18.5703125" style="2" customWidth="1"/>
    <col min="16143" max="16143" width="21.7109375" style="2" customWidth="1"/>
    <col min="16144" max="16144" width="19.85546875" style="2" customWidth="1"/>
    <col min="16145" max="16145" width="34.140625" style="2" customWidth="1"/>
    <col min="16146" max="16146" width="17" style="2" customWidth="1"/>
    <col min="16147" max="16147" width="36.42578125" style="2" customWidth="1"/>
    <col min="16148" max="16148" width="26.5703125" style="2" customWidth="1"/>
    <col min="16149" max="16151" width="30.42578125" style="2" customWidth="1"/>
    <col min="16152" max="16201" width="0" style="2" hidden="1" customWidth="1"/>
    <col min="16202" max="16384" width="11.42578125" style="2"/>
  </cols>
  <sheetData>
    <row r="1" spans="1:72" ht="21" customHeight="1" x14ac:dyDescent="0.25">
      <c r="A1" s="491"/>
      <c r="B1" s="491"/>
      <c r="C1" s="491"/>
      <c r="D1" s="491"/>
      <c r="E1" s="72"/>
      <c r="F1" s="492" t="s">
        <v>0</v>
      </c>
      <c r="G1" s="493"/>
      <c r="H1" s="493"/>
      <c r="I1" s="493"/>
      <c r="J1" s="493"/>
      <c r="K1" s="493"/>
      <c r="L1" s="493"/>
      <c r="M1" s="493"/>
      <c r="N1" s="493"/>
      <c r="O1" s="493"/>
      <c r="P1" s="493"/>
      <c r="Q1" s="493"/>
      <c r="R1" s="493"/>
      <c r="S1" s="493"/>
      <c r="T1" s="494"/>
      <c r="U1" s="501" t="s">
        <v>1</v>
      </c>
      <c r="V1" s="502"/>
      <c r="W1" s="1"/>
      <c r="X1" s="1"/>
    </row>
    <row r="2" spans="1:72" ht="22.5" customHeight="1" x14ac:dyDescent="0.25">
      <c r="A2" s="491"/>
      <c r="B2" s="491"/>
      <c r="C2" s="491"/>
      <c r="D2" s="491"/>
      <c r="E2" s="73"/>
      <c r="F2" s="495"/>
      <c r="G2" s="496"/>
      <c r="H2" s="496"/>
      <c r="I2" s="496"/>
      <c r="J2" s="496"/>
      <c r="K2" s="496"/>
      <c r="L2" s="496"/>
      <c r="M2" s="496"/>
      <c r="N2" s="496"/>
      <c r="O2" s="496"/>
      <c r="P2" s="496"/>
      <c r="Q2" s="496"/>
      <c r="R2" s="496"/>
      <c r="S2" s="496"/>
      <c r="T2" s="497"/>
      <c r="U2" s="501" t="s">
        <v>162</v>
      </c>
      <c r="V2" s="502"/>
      <c r="W2" s="1"/>
      <c r="X2" s="1"/>
    </row>
    <row r="3" spans="1:72" ht="21" customHeight="1" x14ac:dyDescent="0.25">
      <c r="A3" s="491"/>
      <c r="B3" s="491"/>
      <c r="C3" s="491"/>
      <c r="D3" s="491"/>
      <c r="E3" s="73"/>
      <c r="F3" s="495"/>
      <c r="G3" s="496"/>
      <c r="H3" s="496"/>
      <c r="I3" s="496"/>
      <c r="J3" s="496"/>
      <c r="K3" s="496"/>
      <c r="L3" s="496"/>
      <c r="M3" s="496"/>
      <c r="N3" s="496"/>
      <c r="O3" s="496"/>
      <c r="P3" s="496"/>
      <c r="Q3" s="496"/>
      <c r="R3" s="496"/>
      <c r="S3" s="496"/>
      <c r="T3" s="497"/>
      <c r="U3" s="501" t="s">
        <v>163</v>
      </c>
      <c r="V3" s="502"/>
      <c r="W3" s="1"/>
      <c r="X3" s="1"/>
    </row>
    <row r="4" spans="1:72" ht="20.25" customHeight="1" x14ac:dyDescent="0.25">
      <c r="A4" s="491"/>
      <c r="B4" s="491"/>
      <c r="C4" s="491"/>
      <c r="D4" s="491"/>
      <c r="E4" s="74"/>
      <c r="F4" s="498"/>
      <c r="G4" s="499"/>
      <c r="H4" s="499"/>
      <c r="I4" s="499"/>
      <c r="J4" s="499"/>
      <c r="K4" s="499"/>
      <c r="L4" s="499"/>
      <c r="M4" s="499"/>
      <c r="N4" s="499"/>
      <c r="O4" s="499"/>
      <c r="P4" s="499"/>
      <c r="Q4" s="499"/>
      <c r="R4" s="499"/>
      <c r="S4" s="499"/>
      <c r="T4" s="500"/>
      <c r="U4" s="501" t="s">
        <v>2</v>
      </c>
      <c r="V4" s="502"/>
      <c r="W4" s="1"/>
      <c r="X4" s="1"/>
    </row>
    <row r="5" spans="1:72" ht="8.25" customHeight="1" x14ac:dyDescent="0.25">
      <c r="B5" s="3"/>
      <c r="C5" s="116"/>
      <c r="D5" s="3"/>
      <c r="E5" s="116"/>
      <c r="F5" s="4"/>
      <c r="G5" s="117"/>
      <c r="H5" s="4"/>
      <c r="I5" s="117"/>
      <c r="J5" s="4"/>
      <c r="K5" s="4"/>
      <c r="L5" s="4"/>
      <c r="M5" s="4"/>
      <c r="N5" s="4"/>
      <c r="O5" s="117"/>
      <c r="P5" s="4"/>
      <c r="Q5" s="4"/>
      <c r="W5" s="6"/>
      <c r="X5" s="6"/>
    </row>
    <row r="6" spans="1:72" ht="15" x14ac:dyDescent="0.25">
      <c r="A6" s="471" t="s">
        <v>3</v>
      </c>
      <c r="B6" s="471"/>
      <c r="C6" s="471"/>
      <c r="D6" s="471"/>
      <c r="E6" s="75"/>
      <c r="F6" s="485" t="str">
        <f>[24]IdentRiesgo!B2</f>
        <v>Gestión del Mejoramiento Continuo</v>
      </c>
      <c r="G6" s="486"/>
      <c r="H6" s="486"/>
      <c r="I6" s="486"/>
      <c r="J6" s="486"/>
      <c r="K6" s="486"/>
      <c r="L6" s="486"/>
      <c r="M6" s="486"/>
      <c r="N6" s="486"/>
      <c r="O6" s="486"/>
      <c r="P6" s="486"/>
      <c r="Q6" s="486"/>
      <c r="R6" s="486"/>
      <c r="S6" s="486"/>
      <c r="T6" s="486"/>
      <c r="U6" s="486"/>
      <c r="V6" s="487"/>
      <c r="W6" s="6"/>
      <c r="X6" s="6"/>
    </row>
    <row r="7" spans="1:72" ht="6.75" customHeight="1" x14ac:dyDescent="0.25">
      <c r="B7" s="3"/>
      <c r="C7" s="116"/>
      <c r="D7" s="3"/>
      <c r="E7" s="116"/>
      <c r="F7" s="7"/>
      <c r="G7" s="121"/>
      <c r="H7" s="7"/>
      <c r="I7" s="121"/>
      <c r="J7" s="7"/>
      <c r="K7" s="7"/>
      <c r="L7" s="7"/>
      <c r="M7" s="7"/>
      <c r="N7" s="7"/>
      <c r="O7" s="121"/>
      <c r="P7" s="7"/>
      <c r="Q7" s="7"/>
      <c r="R7" s="8"/>
      <c r="S7" s="8"/>
      <c r="T7" s="8"/>
      <c r="U7" s="8"/>
      <c r="V7" s="8"/>
      <c r="W7" s="6"/>
      <c r="X7" s="6"/>
    </row>
    <row r="8" spans="1:72" ht="39.75" customHeight="1" x14ac:dyDescent="0.25">
      <c r="A8" s="471" t="s">
        <v>4</v>
      </c>
      <c r="B8" s="471"/>
      <c r="C8" s="471"/>
      <c r="D8" s="471"/>
      <c r="E8" s="75"/>
      <c r="F8" s="488" t="str">
        <f>[24]IdentRiesgo!B3</f>
        <v xml:space="preserve">Evaluar de forma autónoma, objetiva e independiente el funcionamiento del Sistema Integrado de Gestión del IDEAM para el cumplimiento de  los objetivos y metas, a través de la realización de auditorías, seguimientos y verificaciones a las diferentes áreas, procesos, planes y/o proyectos, formulando recomendaciones para contribuir al mejoramiento continuo y al fortalecimiento institucional </v>
      </c>
      <c r="G8" s="489"/>
      <c r="H8" s="489"/>
      <c r="I8" s="489"/>
      <c r="J8" s="489"/>
      <c r="K8" s="489"/>
      <c r="L8" s="489"/>
      <c r="M8" s="489"/>
      <c r="N8" s="489"/>
      <c r="O8" s="489"/>
      <c r="P8" s="489"/>
      <c r="Q8" s="489"/>
      <c r="R8" s="489"/>
      <c r="S8" s="489"/>
      <c r="T8" s="489"/>
      <c r="U8" s="489"/>
      <c r="V8" s="490"/>
      <c r="W8" s="9"/>
      <c r="X8" s="9"/>
    </row>
    <row r="9" spans="1:72" ht="6.75" customHeight="1" x14ac:dyDescent="0.25">
      <c r="B9" s="10"/>
      <c r="C9" s="119"/>
      <c r="D9" s="10"/>
      <c r="E9" s="119"/>
      <c r="F9" s="11"/>
      <c r="G9" s="122"/>
      <c r="H9" s="11"/>
      <c r="I9" s="122"/>
      <c r="J9" s="11"/>
      <c r="K9" s="11"/>
      <c r="L9" s="11"/>
      <c r="M9" s="11"/>
      <c r="N9" s="11"/>
      <c r="O9" s="122"/>
      <c r="P9" s="11"/>
      <c r="Q9" s="11"/>
      <c r="R9" s="8"/>
      <c r="S9" s="8"/>
      <c r="T9" s="8"/>
      <c r="U9" s="8"/>
      <c r="V9" s="8"/>
      <c r="W9" s="6"/>
      <c r="X9" s="6"/>
    </row>
    <row r="10" spans="1:72" ht="15" x14ac:dyDescent="0.25">
      <c r="A10" s="471" t="s">
        <v>5</v>
      </c>
      <c r="B10" s="471"/>
      <c r="C10" s="471"/>
      <c r="D10" s="471"/>
      <c r="E10" s="75"/>
      <c r="F10" s="472" t="s">
        <v>64</v>
      </c>
      <c r="G10" s="473"/>
      <c r="H10" s="473"/>
      <c r="I10" s="473"/>
      <c r="J10" s="473"/>
      <c r="K10" s="473"/>
      <c r="L10" s="473"/>
      <c r="M10" s="473"/>
      <c r="N10" s="473"/>
      <c r="O10" s="473"/>
      <c r="P10" s="473"/>
      <c r="Q10" s="473"/>
      <c r="R10" s="473"/>
      <c r="S10" s="473"/>
      <c r="T10" s="473"/>
      <c r="U10" s="473"/>
      <c r="V10" s="474"/>
      <c r="W10" s="12"/>
      <c r="X10" s="12"/>
    </row>
    <row r="11" spans="1:72" ht="5.25" customHeight="1" x14ac:dyDescent="0.25">
      <c r="B11" s="3"/>
      <c r="C11" s="116"/>
      <c r="D11" s="3"/>
      <c r="E11" s="116"/>
      <c r="F11" s="13"/>
      <c r="G11" s="141"/>
      <c r="H11" s="13"/>
      <c r="I11" s="141"/>
      <c r="J11" s="13"/>
      <c r="K11" s="13"/>
      <c r="L11" s="13"/>
      <c r="M11" s="13"/>
      <c r="N11" s="13"/>
      <c r="O11" s="141"/>
      <c r="P11" s="13"/>
      <c r="Q11" s="13"/>
      <c r="R11" s="8"/>
      <c r="S11" s="8"/>
      <c r="T11" s="8"/>
      <c r="U11" s="8"/>
      <c r="V11" s="8"/>
      <c r="W11" s="6"/>
      <c r="X11" s="6"/>
    </row>
    <row r="12" spans="1:72" ht="15" x14ac:dyDescent="0.25">
      <c r="A12" s="471" t="s">
        <v>6</v>
      </c>
      <c r="B12" s="471"/>
      <c r="C12" s="471"/>
      <c r="D12" s="471"/>
      <c r="E12" s="75"/>
      <c r="F12" s="472" t="s">
        <v>278</v>
      </c>
      <c r="G12" s="473"/>
      <c r="H12" s="473"/>
      <c r="I12" s="473"/>
      <c r="J12" s="473"/>
      <c r="K12" s="473"/>
      <c r="L12" s="473"/>
      <c r="M12" s="473"/>
      <c r="N12" s="473"/>
      <c r="O12" s="473"/>
      <c r="P12" s="473"/>
      <c r="Q12" s="473"/>
      <c r="R12" s="473"/>
      <c r="S12" s="473"/>
      <c r="T12" s="473"/>
      <c r="U12" s="473"/>
      <c r="V12" s="473"/>
      <c r="W12" s="474"/>
      <c r="X12" s="12"/>
      <c r="AA12" s="2" t="s">
        <v>7</v>
      </c>
    </row>
    <row r="13" spans="1:72" ht="15.75" thickBot="1" x14ac:dyDescent="0.3">
      <c r="B13" s="3"/>
      <c r="C13" s="116"/>
      <c r="D13" s="3"/>
      <c r="E13" s="116"/>
      <c r="F13" s="14"/>
      <c r="G13" s="123"/>
      <c r="H13" s="15"/>
      <c r="I13" s="120"/>
      <c r="J13" s="15"/>
      <c r="K13" s="7"/>
      <c r="L13" s="15"/>
      <c r="M13" s="7"/>
      <c r="N13" s="7"/>
      <c r="O13" s="121"/>
      <c r="P13" s="7"/>
      <c r="Q13" s="7"/>
      <c r="R13" s="7"/>
      <c r="S13" s="15"/>
      <c r="T13" s="7"/>
      <c r="W13" s="6"/>
      <c r="X13" s="6"/>
      <c r="AA13" s="2" t="s">
        <v>8</v>
      </c>
      <c r="AG13" s="475" t="s">
        <v>9</v>
      </c>
      <c r="AH13" s="475"/>
      <c r="AI13" s="475"/>
      <c r="AJ13" s="475"/>
      <c r="AK13" s="475"/>
      <c r="AL13" s="475"/>
      <c r="AM13" s="475"/>
      <c r="AN13" s="475"/>
      <c r="AO13" s="475"/>
      <c r="AP13" s="475"/>
      <c r="AQ13" s="475"/>
      <c r="AR13" s="475"/>
      <c r="AS13" s="475"/>
      <c r="AT13" s="475"/>
      <c r="AU13" s="475"/>
      <c r="AV13" s="475"/>
      <c r="AW13" s="475"/>
      <c r="AX13" s="475"/>
      <c r="AY13" s="475"/>
      <c r="BA13" s="475" t="s">
        <v>10</v>
      </c>
      <c r="BB13" s="475"/>
      <c r="BC13" s="475"/>
      <c r="BD13" s="475"/>
      <c r="BE13" s="475"/>
      <c r="BF13" s="475"/>
      <c r="BG13" s="475"/>
      <c r="BH13" s="475"/>
      <c r="BI13" s="475"/>
      <c r="BJ13" s="475"/>
      <c r="BK13" s="475"/>
      <c r="BL13" s="475"/>
      <c r="BM13" s="475"/>
      <c r="BN13" s="475"/>
      <c r="BO13" s="475"/>
      <c r="BP13" s="475"/>
      <c r="BQ13" s="475"/>
      <c r="BR13" s="475"/>
      <c r="BS13" s="475"/>
      <c r="BT13" s="475"/>
    </row>
    <row r="14" spans="1:72" s="17" customFormat="1" ht="15" customHeight="1" x14ac:dyDescent="0.25">
      <c r="A14" s="476" t="s">
        <v>11</v>
      </c>
      <c r="B14" s="477"/>
      <c r="C14" s="477"/>
      <c r="D14" s="478"/>
      <c r="E14" s="76"/>
      <c r="F14" s="479" t="s">
        <v>12</v>
      </c>
      <c r="G14" s="479"/>
      <c r="H14" s="479"/>
      <c r="I14" s="136"/>
      <c r="J14" s="16"/>
      <c r="K14" s="480" t="s">
        <v>13</v>
      </c>
      <c r="L14" s="476" t="s">
        <v>14</v>
      </c>
      <c r="M14" s="477"/>
      <c r="N14" s="478"/>
      <c r="O14" s="303"/>
      <c r="P14" s="483" t="s">
        <v>15</v>
      </c>
      <c r="Q14" s="483"/>
      <c r="R14" s="483"/>
      <c r="S14" s="483" t="s">
        <v>16</v>
      </c>
      <c r="T14" s="483"/>
      <c r="U14" s="483"/>
      <c r="V14" s="483"/>
    </row>
    <row r="15" spans="1:72" s="17" customFormat="1" ht="14.25" customHeight="1" x14ac:dyDescent="0.25">
      <c r="A15" s="481" t="s">
        <v>17</v>
      </c>
      <c r="B15" s="481" t="s">
        <v>18</v>
      </c>
      <c r="C15" s="304"/>
      <c r="D15" s="481" t="s">
        <v>19</v>
      </c>
      <c r="E15" s="304"/>
      <c r="F15" s="461" t="s">
        <v>20</v>
      </c>
      <c r="G15" s="461"/>
      <c r="H15" s="461"/>
      <c r="I15" s="300"/>
      <c r="J15" s="18"/>
      <c r="K15" s="481"/>
      <c r="L15" s="466" t="s">
        <v>21</v>
      </c>
      <c r="M15" s="467"/>
      <c r="N15" s="468"/>
      <c r="O15" s="302"/>
      <c r="P15" s="466" t="s">
        <v>22</v>
      </c>
      <c r="Q15" s="467"/>
      <c r="R15" s="468"/>
      <c r="S15" s="461" t="s">
        <v>23</v>
      </c>
      <c r="T15" s="461" t="s">
        <v>24</v>
      </c>
      <c r="U15" s="461" t="s">
        <v>5</v>
      </c>
      <c r="V15" s="461" t="s">
        <v>25</v>
      </c>
    </row>
    <row r="16" spans="1:72" s="17" customFormat="1" ht="63" customHeight="1" x14ac:dyDescent="0.25">
      <c r="A16" s="484"/>
      <c r="B16" s="484"/>
      <c r="C16" s="305" t="s">
        <v>77</v>
      </c>
      <c r="D16" s="484"/>
      <c r="E16" s="305" t="s">
        <v>78</v>
      </c>
      <c r="F16" s="18" t="s">
        <v>26</v>
      </c>
      <c r="G16" s="300" t="s">
        <v>77</v>
      </c>
      <c r="H16" s="18" t="s">
        <v>10</v>
      </c>
      <c r="I16" s="300" t="s">
        <v>77</v>
      </c>
      <c r="J16" s="18" t="s">
        <v>27</v>
      </c>
      <c r="K16" s="482"/>
      <c r="L16" s="19" t="s">
        <v>26</v>
      </c>
      <c r="M16" s="19" t="s">
        <v>10</v>
      </c>
      <c r="N16" s="20" t="s">
        <v>27</v>
      </c>
      <c r="O16" s="305" t="s">
        <v>81</v>
      </c>
      <c r="P16" s="18" t="s">
        <v>28</v>
      </c>
      <c r="Q16" s="18" t="s">
        <v>24</v>
      </c>
      <c r="R16" s="18" t="s">
        <v>29</v>
      </c>
      <c r="S16" s="461"/>
      <c r="T16" s="461"/>
      <c r="U16" s="461"/>
      <c r="V16" s="461"/>
    </row>
    <row r="17" spans="1:70" s="115" customFormat="1" ht="306" customHeight="1" x14ac:dyDescent="0.25">
      <c r="A17" s="316" t="s">
        <v>193</v>
      </c>
      <c r="B17" s="308" t="s">
        <v>194</v>
      </c>
      <c r="C17" s="308" t="s">
        <v>195</v>
      </c>
      <c r="D17" s="308" t="s">
        <v>196</v>
      </c>
      <c r="E17" s="308" t="s">
        <v>89</v>
      </c>
      <c r="F17" s="309">
        <v>3</v>
      </c>
      <c r="G17" s="309" t="s">
        <v>83</v>
      </c>
      <c r="H17" s="310">
        <v>10</v>
      </c>
      <c r="I17" s="310" t="s">
        <v>84</v>
      </c>
      <c r="J17" s="311" t="s">
        <v>43</v>
      </c>
      <c r="K17" s="314" t="s">
        <v>197</v>
      </c>
      <c r="L17" s="537" t="s">
        <v>26</v>
      </c>
      <c r="M17" s="537"/>
      <c r="N17" s="311" t="s">
        <v>41</v>
      </c>
      <c r="O17" s="307" t="s">
        <v>191</v>
      </c>
      <c r="P17" s="314" t="s">
        <v>192</v>
      </c>
      <c r="Q17" s="372" t="s">
        <v>198</v>
      </c>
      <c r="R17" s="314" t="s">
        <v>199</v>
      </c>
      <c r="S17" s="318"/>
      <c r="T17" s="454"/>
      <c r="U17" s="457" t="s">
        <v>276</v>
      </c>
      <c r="V17" s="456"/>
      <c r="X17" s="6"/>
      <c r="Y17" s="6"/>
      <c r="Z17" s="6"/>
      <c r="AA17" s="6"/>
      <c r="AB17" s="6"/>
      <c r="AE17" s="6"/>
      <c r="AF17" s="6"/>
      <c r="AG17" s="6"/>
      <c r="AH17" s="6"/>
      <c r="AI17" s="6"/>
      <c r="AK17" s="6"/>
      <c r="AL17" s="6"/>
      <c r="AM17" s="6"/>
      <c r="AN17" s="6"/>
      <c r="AO17" s="6"/>
      <c r="AR17" s="6"/>
      <c r="AS17" s="6"/>
      <c r="AT17" s="6"/>
      <c r="AU17" s="6"/>
      <c r="AV17" s="6"/>
      <c r="AZ17" s="6"/>
      <c r="BA17" s="6"/>
      <c r="BB17" s="6"/>
      <c r="BC17" s="6"/>
      <c r="BD17" s="6"/>
      <c r="BG17" s="6"/>
      <c r="BH17" s="6"/>
      <c r="BI17" s="6"/>
      <c r="BJ17" s="6"/>
      <c r="BK17" s="6"/>
      <c r="BN17" s="6"/>
      <c r="BO17" s="6"/>
      <c r="BP17" s="6"/>
      <c r="BQ17" s="6"/>
      <c r="BR17" s="6"/>
    </row>
    <row r="18" spans="1:70" ht="228.75" customHeight="1" x14ac:dyDescent="0.25">
      <c r="A18" s="316" t="s">
        <v>200</v>
      </c>
      <c r="B18" s="308" t="s">
        <v>201</v>
      </c>
      <c r="C18" s="308" t="s">
        <v>202</v>
      </c>
      <c r="D18" s="308" t="s">
        <v>203</v>
      </c>
      <c r="E18" s="308" t="s">
        <v>89</v>
      </c>
      <c r="F18" s="309">
        <v>2</v>
      </c>
      <c r="G18" s="309" t="s">
        <v>96</v>
      </c>
      <c r="H18" s="310">
        <v>10</v>
      </c>
      <c r="I18" s="310" t="s">
        <v>84</v>
      </c>
      <c r="J18" s="311" t="s">
        <v>41</v>
      </c>
      <c r="K18" s="317" t="s">
        <v>204</v>
      </c>
      <c r="L18" s="537" t="s">
        <v>26</v>
      </c>
      <c r="M18" s="537"/>
      <c r="N18" s="311" t="s">
        <v>41</v>
      </c>
      <c r="O18" s="313" t="s">
        <v>191</v>
      </c>
      <c r="P18" s="312" t="s">
        <v>192</v>
      </c>
      <c r="Q18" s="314" t="s">
        <v>205</v>
      </c>
      <c r="R18" s="312" t="s">
        <v>206</v>
      </c>
      <c r="S18" s="318"/>
      <c r="T18" s="455"/>
      <c r="U18" s="457" t="s">
        <v>276</v>
      </c>
      <c r="V18" s="457"/>
    </row>
    <row r="19" spans="1:70" ht="15.75" thickBot="1" x14ac:dyDescent="0.3">
      <c r="A19" s="6"/>
      <c r="B19" s="31"/>
      <c r="C19" s="139"/>
      <c r="D19" s="31"/>
      <c r="E19" s="139"/>
      <c r="F19" s="524" t="s">
        <v>26</v>
      </c>
      <c r="G19" s="77"/>
      <c r="H19" s="525" t="s">
        <v>10</v>
      </c>
      <c r="I19" s="525"/>
      <c r="J19" s="525"/>
      <c r="K19" s="532"/>
      <c r="L19" s="2"/>
      <c r="Q19" s="5"/>
      <c r="S19" s="2"/>
    </row>
    <row r="20" spans="1:70" ht="32.25" customHeight="1" thickBot="1" x14ac:dyDescent="0.3">
      <c r="A20" s="5"/>
      <c r="B20" s="32" t="s">
        <v>34</v>
      </c>
      <c r="C20" s="127"/>
      <c r="D20" s="32"/>
      <c r="E20" s="127"/>
      <c r="F20" s="463"/>
      <c r="G20" s="301"/>
      <c r="H20" s="33" t="s">
        <v>35</v>
      </c>
      <c r="I20" s="128"/>
      <c r="J20" s="34" t="s">
        <v>36</v>
      </c>
      <c r="K20" s="33" t="s">
        <v>37</v>
      </c>
      <c r="L20" s="2"/>
      <c r="Q20" s="5"/>
      <c r="S20" s="2"/>
    </row>
    <row r="21" spans="1:70" ht="15.75" thickBot="1" x14ac:dyDescent="0.3">
      <c r="B21" s="5" t="s">
        <v>38</v>
      </c>
      <c r="C21" s="118"/>
      <c r="F21" s="35" t="s">
        <v>39</v>
      </c>
      <c r="G21" s="129"/>
      <c r="H21" s="36" t="s">
        <v>40</v>
      </c>
      <c r="I21" s="130"/>
      <c r="J21" s="36" t="s">
        <v>40</v>
      </c>
      <c r="K21" s="37" t="s">
        <v>41</v>
      </c>
      <c r="L21" s="2"/>
      <c r="Q21" s="5"/>
      <c r="S21" s="2"/>
    </row>
    <row r="22" spans="1:70" ht="15.75" thickBot="1" x14ac:dyDescent="0.3">
      <c r="F22" s="35" t="s">
        <v>42</v>
      </c>
      <c r="G22" s="129"/>
      <c r="H22" s="36" t="s">
        <v>40</v>
      </c>
      <c r="I22" s="130"/>
      <c r="J22" s="37" t="s">
        <v>41</v>
      </c>
      <c r="K22" s="38" t="s">
        <v>43</v>
      </c>
      <c r="L22" s="2"/>
      <c r="Q22" s="5"/>
      <c r="S22" s="2"/>
    </row>
    <row r="23" spans="1:70" ht="15.75" thickBot="1" x14ac:dyDescent="0.3">
      <c r="F23" s="35" t="s">
        <v>44</v>
      </c>
      <c r="G23" s="129"/>
      <c r="H23" s="37" t="s">
        <v>41</v>
      </c>
      <c r="I23" s="131"/>
      <c r="J23" s="38" t="s">
        <v>43</v>
      </c>
      <c r="K23" s="39" t="s">
        <v>45</v>
      </c>
      <c r="L23" s="2"/>
      <c r="Q23" s="5"/>
      <c r="S23" s="2"/>
    </row>
    <row r="24" spans="1:70" ht="15.75" thickBot="1" x14ac:dyDescent="0.3">
      <c r="F24" s="35" t="s">
        <v>46</v>
      </c>
      <c r="G24" s="129"/>
      <c r="H24" s="37" t="s">
        <v>41</v>
      </c>
      <c r="I24" s="131"/>
      <c r="J24" s="38" t="s">
        <v>43</v>
      </c>
      <c r="K24" s="39" t="s">
        <v>45</v>
      </c>
      <c r="L24" s="2"/>
      <c r="Q24" s="5"/>
      <c r="S24" s="2"/>
    </row>
    <row r="25" spans="1:70" ht="15.75" thickBot="1" x14ac:dyDescent="0.3">
      <c r="F25" s="35" t="s">
        <v>47</v>
      </c>
      <c r="G25" s="129"/>
      <c r="H25" s="37" t="s">
        <v>41</v>
      </c>
      <c r="I25" s="131"/>
      <c r="J25" s="38" t="s">
        <v>43</v>
      </c>
      <c r="K25" s="39" t="s">
        <v>45</v>
      </c>
      <c r="L25" s="2"/>
      <c r="Q25" s="5"/>
      <c r="S25" s="2"/>
    </row>
    <row r="26" spans="1:70" x14ac:dyDescent="0.25">
      <c r="F26" s="2"/>
      <c r="G26" s="115"/>
      <c r="H26" s="2"/>
      <c r="I26" s="115"/>
      <c r="J26" s="2"/>
      <c r="K26" s="5"/>
      <c r="M26" s="5"/>
    </row>
    <row r="27" spans="1:70" ht="15" x14ac:dyDescent="0.25">
      <c r="F27" s="40" t="s">
        <v>48</v>
      </c>
      <c r="G27" s="132"/>
      <c r="H27" s="2"/>
      <c r="I27" s="115"/>
      <c r="J27" s="2"/>
      <c r="K27" s="5"/>
      <c r="M27" s="5"/>
      <c r="N27" s="5"/>
      <c r="O27" s="118"/>
      <c r="P27" s="5"/>
    </row>
    <row r="28" spans="1:70" ht="15" x14ac:dyDescent="0.25">
      <c r="F28" s="41" t="s">
        <v>49</v>
      </c>
      <c r="G28" s="133"/>
      <c r="H28" s="2"/>
      <c r="I28" s="115"/>
      <c r="J28" s="2"/>
      <c r="K28" s="5"/>
      <c r="M28" s="5"/>
      <c r="N28" s="5"/>
      <c r="O28" s="118"/>
      <c r="P28" s="5"/>
    </row>
    <row r="29" spans="1:70" ht="15" x14ac:dyDescent="0.25">
      <c r="F29" s="42" t="s">
        <v>50</v>
      </c>
      <c r="G29" s="134"/>
      <c r="H29" s="2"/>
      <c r="I29" s="115"/>
      <c r="J29" s="2"/>
      <c r="K29" s="5"/>
      <c r="M29" s="5"/>
      <c r="N29" s="5"/>
      <c r="O29" s="118"/>
      <c r="P29" s="5"/>
    </row>
    <row r="30" spans="1:70" ht="15" x14ac:dyDescent="0.25">
      <c r="F30" s="43" t="s">
        <v>51</v>
      </c>
      <c r="G30" s="135"/>
      <c r="H30" s="2"/>
      <c r="I30" s="115"/>
      <c r="J30" s="2"/>
      <c r="K30" s="5"/>
      <c r="M30" s="5"/>
      <c r="N30" s="5"/>
      <c r="O30" s="118"/>
      <c r="P30" s="5"/>
    </row>
    <row r="38" spans="6:22" ht="59.25" x14ac:dyDescent="0.25">
      <c r="F38" s="47"/>
      <c r="G38" s="47"/>
      <c r="H38" s="47"/>
      <c r="I38" s="47"/>
      <c r="J38" s="47"/>
      <c r="K38" s="47"/>
      <c r="L38" s="47"/>
      <c r="M38" s="47"/>
      <c r="N38" s="47"/>
      <c r="O38" s="47"/>
      <c r="P38" s="47"/>
      <c r="Q38" s="47"/>
      <c r="R38" s="47"/>
      <c r="S38" s="47"/>
      <c r="T38" s="47"/>
      <c r="U38" s="47"/>
      <c r="V38" s="47"/>
    </row>
  </sheetData>
  <mergeCells count="36">
    <mergeCell ref="F12:W12"/>
    <mergeCell ref="A1:D4"/>
    <mergeCell ref="F1:T4"/>
    <mergeCell ref="U1:V1"/>
    <mergeCell ref="U2:V2"/>
    <mergeCell ref="U3:V3"/>
    <mergeCell ref="U4:V4"/>
    <mergeCell ref="A6:D6"/>
    <mergeCell ref="F6:V6"/>
    <mergeCell ref="A8:D8"/>
    <mergeCell ref="F8:V8"/>
    <mergeCell ref="A10:D10"/>
    <mergeCell ref="F10:V10"/>
    <mergeCell ref="A12:D12"/>
    <mergeCell ref="AG13:AY13"/>
    <mergeCell ref="BA13:BT13"/>
    <mergeCell ref="A14:D14"/>
    <mergeCell ref="F14:H14"/>
    <mergeCell ref="K14:K16"/>
    <mergeCell ref="L14:N14"/>
    <mergeCell ref="P14:R14"/>
    <mergeCell ref="S14:V14"/>
    <mergeCell ref="A15:A16"/>
    <mergeCell ref="B15:B16"/>
    <mergeCell ref="D15:D16"/>
    <mergeCell ref="F15:H15"/>
    <mergeCell ref="L15:N15"/>
    <mergeCell ref="S15:S16"/>
    <mergeCell ref="T15:T16"/>
    <mergeCell ref="U15:U16"/>
    <mergeCell ref="V15:V16"/>
    <mergeCell ref="F19:F20"/>
    <mergeCell ref="H19:K19"/>
    <mergeCell ref="P15:R15"/>
    <mergeCell ref="L17:M17"/>
    <mergeCell ref="L18:M18"/>
  </mergeCells>
  <conditionalFormatting sqref="J17 N17:O17">
    <cfRule type="containsText" dxfId="3" priority="17" operator="containsText" text="E">
      <formula>NOT(ISERROR(SEARCH("E",J17)))</formula>
    </cfRule>
    <cfRule type="containsText" dxfId="2" priority="18" operator="containsText" text="M">
      <formula>NOT(ISERROR(SEARCH("M",J17)))</formula>
    </cfRule>
    <cfRule type="containsText" dxfId="1" priority="19" operator="containsText" text="A">
      <formula>NOT(ISERROR(SEARCH("A",J17)))</formula>
    </cfRule>
    <cfRule type="containsText" dxfId="0" priority="20" operator="containsText" text="B">
      <formula>NOT(ISERROR(SEARCH("B",J17)))</formula>
    </cfRule>
  </conditionalFormatting>
  <pageMargins left="0.7" right="0.7" top="0.75" bottom="0.75" header="0.3" footer="0.3"/>
  <pageSetup paperSize="130" scale="18" orientation="landscape" r:id="rId1"/>
  <drawing r:id="rId2"/>
  <legacyDrawing r:id="rId3"/>
  <oleObjects>
    <mc:AlternateContent xmlns:mc="http://schemas.openxmlformats.org/markup-compatibility/2006">
      <mc:Choice Requires="x14">
        <oleObject link="[25]!''''" oleUpdate="OLEUPDATE_ALWAYS" shapeId="17409">
          <objectPr defaultSize="0" autoPict="0" dde="1" r:id="rId4">
            <anchor moveWithCells="1">
              <from>
                <xdr:col>22</xdr:col>
                <xdr:colOff>1171575</xdr:colOff>
                <xdr:row>16</xdr:row>
                <xdr:rowOff>2105025</xdr:rowOff>
              </from>
              <to>
                <xdr:col>22</xdr:col>
                <xdr:colOff>1590675</xdr:colOff>
                <xdr:row>16</xdr:row>
                <xdr:rowOff>2638425</xdr:rowOff>
              </to>
            </anchor>
          </objectPr>
        </oleObject>
      </mc:Choice>
      <mc:Fallback>
        <oleObject link="[25]!''''" oleUpdate="OLEUPDATE_ALWAYS" shapeId="17409"/>
      </mc:Fallback>
    </mc:AlternateContent>
    <mc:AlternateContent xmlns:mc="http://schemas.openxmlformats.org/markup-compatibility/2006">
      <mc:Choice Requires="x14">
        <oleObject dvAspect="DVASPECT_ICON" link="[26]!''''" oleUpdate="OLEUPDATE_ALWAYS" shapeId="17410">
          <objectPr defaultSize="0" autoPict="0" dde="1" r:id="rId5">
            <anchor moveWithCells="1">
              <from>
                <xdr:col>22</xdr:col>
                <xdr:colOff>1028700</xdr:colOff>
                <xdr:row>16</xdr:row>
                <xdr:rowOff>1428750</xdr:rowOff>
              </from>
              <to>
                <xdr:col>22</xdr:col>
                <xdr:colOff>1724025</xdr:colOff>
                <xdr:row>16</xdr:row>
                <xdr:rowOff>1952625</xdr:rowOff>
              </to>
            </anchor>
          </objectPr>
        </oleObject>
      </mc:Choice>
      <mc:Fallback>
        <oleObject dvAspect="DVASPECT_ICON" link="[26]!''''" oleUpdate="OLEUPDATE_ALWAYS" shapeId="17410"/>
      </mc:Fallback>
    </mc:AlternateContent>
    <mc:AlternateContent xmlns:mc="http://schemas.openxmlformats.org/markup-compatibility/2006">
      <mc:Choice Requires="x14">
        <oleObject link="[27]!''''" oleUpdate="OLEUPDATE_ALWAYS" shapeId="17411">
          <objectPr defaultSize="0" autoPict="0" dde="1" r:id="rId6">
            <anchor moveWithCells="1">
              <from>
                <xdr:col>22</xdr:col>
                <xdr:colOff>895350</xdr:colOff>
                <xdr:row>16</xdr:row>
                <xdr:rowOff>28575</xdr:rowOff>
              </from>
              <to>
                <xdr:col>22</xdr:col>
                <xdr:colOff>1762125</xdr:colOff>
                <xdr:row>16</xdr:row>
                <xdr:rowOff>590550</xdr:rowOff>
              </to>
            </anchor>
          </objectPr>
        </oleObject>
      </mc:Choice>
      <mc:Fallback>
        <oleObject link="[27]!''''" oleUpdate="OLEUPDATE_ALWAYS" shapeId="17411"/>
      </mc:Fallback>
    </mc:AlternateContent>
    <mc:AlternateContent xmlns:mc="http://schemas.openxmlformats.org/markup-compatibility/2006">
      <mc:Choice Requires="x14">
        <oleObject link="[28]!''''" oleUpdate="OLEUPDATE_ALWAYS" shapeId="17412">
          <objectPr defaultSize="0" autoPict="0" dde="1" r:id="rId7">
            <anchor moveWithCells="1">
              <from>
                <xdr:col>22</xdr:col>
                <xdr:colOff>942975</xdr:colOff>
                <xdr:row>16</xdr:row>
                <xdr:rowOff>666750</xdr:rowOff>
              </from>
              <to>
                <xdr:col>22</xdr:col>
                <xdr:colOff>1781175</xdr:colOff>
                <xdr:row>16</xdr:row>
                <xdr:rowOff>1181100</xdr:rowOff>
              </to>
            </anchor>
          </objectPr>
        </oleObject>
      </mc:Choice>
      <mc:Fallback>
        <oleObject link="[28]!''''" oleUpdate="OLEUPDATE_ALWAYS" shapeId="17412"/>
      </mc:Fallback>
    </mc:AlternateContent>
  </oleObjec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33"/>
  <sheetViews>
    <sheetView showGridLines="0" view="pageBreakPreview" topLeftCell="E1" zoomScale="120" zoomScaleNormal="70" zoomScaleSheetLayoutView="120" workbookViewId="0">
      <selection activeCell="V17" sqref="V17"/>
    </sheetView>
  </sheetViews>
  <sheetFormatPr baseColWidth="10" defaultColWidth="11.42578125" defaultRowHeight="14.25" x14ac:dyDescent="0.25"/>
  <cols>
    <col min="1" max="1" width="41.28515625" style="2" customWidth="1"/>
    <col min="2" max="2" width="41.140625" style="2" customWidth="1"/>
    <col min="3" max="3" width="40.42578125" style="115" customWidth="1"/>
    <col min="4" max="4" width="40.42578125" style="2" customWidth="1"/>
    <col min="5" max="5" width="40.42578125" style="115" customWidth="1"/>
    <col min="6" max="6" width="27" style="5" customWidth="1"/>
    <col min="7" max="7" width="27" style="118" customWidth="1"/>
    <col min="8" max="8" width="19" style="5" customWidth="1"/>
    <col min="9" max="9" width="19" style="118" customWidth="1"/>
    <col min="10" max="10" width="26.7109375" style="5" customWidth="1"/>
    <col min="11" max="11" width="29.7109375" style="2" customWidth="1"/>
    <col min="12" max="12" width="17.7109375" style="5" customWidth="1"/>
    <col min="13" max="13" width="18.5703125" style="2" customWidth="1"/>
    <col min="14" max="14" width="21.7109375" style="2" customWidth="1"/>
    <col min="15" max="15" width="21.7109375" style="115" customWidth="1"/>
    <col min="16" max="17" width="19.85546875" style="2" customWidth="1"/>
    <col min="18" max="18" width="17" style="2" customWidth="1"/>
    <col min="19" max="19" width="36.42578125" style="5" customWidth="1"/>
    <col min="20" max="20" width="26.5703125" style="2" customWidth="1"/>
    <col min="21" max="23" width="30.42578125" style="2" customWidth="1"/>
    <col min="24" max="24" width="36" style="2" hidden="1" customWidth="1"/>
    <col min="25" max="25" width="0" style="2" hidden="1" customWidth="1"/>
    <col min="26" max="72" width="11.42578125" style="2" hidden="1" customWidth="1"/>
    <col min="73" max="73" width="11.42578125" style="2" customWidth="1"/>
    <col min="74" max="16384" width="11.42578125" style="2"/>
  </cols>
  <sheetData>
    <row r="1" spans="1:72" ht="21" customHeight="1" x14ac:dyDescent="0.25">
      <c r="A1" s="491"/>
      <c r="B1" s="491"/>
      <c r="C1" s="491"/>
      <c r="D1" s="491"/>
      <c r="E1" s="72"/>
      <c r="F1" s="492" t="s">
        <v>0</v>
      </c>
      <c r="G1" s="493"/>
      <c r="H1" s="493"/>
      <c r="I1" s="493"/>
      <c r="J1" s="493"/>
      <c r="K1" s="493"/>
      <c r="L1" s="493"/>
      <c r="M1" s="493"/>
      <c r="N1" s="493"/>
      <c r="O1" s="493"/>
      <c r="P1" s="493"/>
      <c r="Q1" s="493"/>
      <c r="R1" s="493"/>
      <c r="S1" s="493"/>
      <c r="T1" s="494"/>
      <c r="U1" s="501" t="s">
        <v>1</v>
      </c>
      <c r="V1" s="502"/>
      <c r="W1" s="1"/>
      <c r="X1" s="1"/>
    </row>
    <row r="2" spans="1:72" ht="22.5" customHeight="1" x14ac:dyDescent="0.25">
      <c r="A2" s="491"/>
      <c r="B2" s="491"/>
      <c r="C2" s="491"/>
      <c r="D2" s="491"/>
      <c r="E2" s="73"/>
      <c r="F2" s="495"/>
      <c r="G2" s="496"/>
      <c r="H2" s="496"/>
      <c r="I2" s="496"/>
      <c r="J2" s="496"/>
      <c r="K2" s="496"/>
      <c r="L2" s="496"/>
      <c r="M2" s="496"/>
      <c r="N2" s="496"/>
      <c r="O2" s="496"/>
      <c r="P2" s="496"/>
      <c r="Q2" s="496"/>
      <c r="R2" s="496"/>
      <c r="S2" s="496"/>
      <c r="T2" s="497"/>
      <c r="U2" s="501" t="s">
        <v>162</v>
      </c>
      <c r="V2" s="502"/>
      <c r="W2" s="1"/>
      <c r="X2" s="1"/>
    </row>
    <row r="3" spans="1:72" ht="21" customHeight="1" x14ac:dyDescent="0.25">
      <c r="A3" s="491"/>
      <c r="B3" s="491"/>
      <c r="C3" s="491"/>
      <c r="D3" s="491"/>
      <c r="E3" s="73"/>
      <c r="F3" s="495"/>
      <c r="G3" s="496"/>
      <c r="H3" s="496"/>
      <c r="I3" s="496"/>
      <c r="J3" s="496"/>
      <c r="K3" s="496"/>
      <c r="L3" s="496"/>
      <c r="M3" s="496"/>
      <c r="N3" s="496"/>
      <c r="O3" s="496"/>
      <c r="P3" s="496"/>
      <c r="Q3" s="496"/>
      <c r="R3" s="496"/>
      <c r="S3" s="496"/>
      <c r="T3" s="497"/>
      <c r="U3" s="501" t="s">
        <v>163</v>
      </c>
      <c r="V3" s="502"/>
      <c r="W3" s="1"/>
      <c r="X3" s="1"/>
    </row>
    <row r="4" spans="1:72" ht="20.25" customHeight="1" x14ac:dyDescent="0.25">
      <c r="A4" s="491"/>
      <c r="B4" s="491"/>
      <c r="C4" s="491"/>
      <c r="D4" s="491"/>
      <c r="E4" s="74"/>
      <c r="F4" s="498"/>
      <c r="G4" s="499"/>
      <c r="H4" s="499"/>
      <c r="I4" s="499"/>
      <c r="J4" s="499"/>
      <c r="K4" s="499"/>
      <c r="L4" s="499"/>
      <c r="M4" s="499"/>
      <c r="N4" s="499"/>
      <c r="O4" s="499"/>
      <c r="P4" s="499"/>
      <c r="Q4" s="499"/>
      <c r="R4" s="499"/>
      <c r="S4" s="499"/>
      <c r="T4" s="500"/>
      <c r="U4" s="501" t="s">
        <v>2</v>
      </c>
      <c r="V4" s="502"/>
      <c r="W4" s="1"/>
      <c r="X4" s="1"/>
    </row>
    <row r="5" spans="1:72" ht="8.25" customHeight="1" x14ac:dyDescent="0.25">
      <c r="B5" s="3"/>
      <c r="C5" s="116"/>
      <c r="D5" s="3"/>
      <c r="E5" s="116"/>
      <c r="F5" s="4"/>
      <c r="G5" s="117"/>
      <c r="H5" s="4"/>
      <c r="I5" s="117"/>
      <c r="J5" s="4"/>
      <c r="K5" s="4"/>
      <c r="L5" s="4"/>
      <c r="M5" s="4"/>
      <c r="N5" s="4"/>
      <c r="O5" s="117"/>
      <c r="P5" s="4"/>
      <c r="Q5" s="4"/>
      <c r="W5" s="6"/>
      <c r="X5" s="6"/>
    </row>
    <row r="6" spans="1:72" ht="15" x14ac:dyDescent="0.25">
      <c r="A6" s="471" t="s">
        <v>3</v>
      </c>
      <c r="B6" s="471"/>
      <c r="C6" s="471"/>
      <c r="D6" s="471"/>
      <c r="E6" s="75"/>
      <c r="F6" s="485" t="str">
        <f>[2]IdentRiesgo!B2</f>
        <v>Gestión de la Planeación</v>
      </c>
      <c r="G6" s="486"/>
      <c r="H6" s="486"/>
      <c r="I6" s="486"/>
      <c r="J6" s="486"/>
      <c r="K6" s="486"/>
      <c r="L6" s="486"/>
      <c r="M6" s="486"/>
      <c r="N6" s="486"/>
      <c r="O6" s="486"/>
      <c r="P6" s="486"/>
      <c r="Q6" s="486"/>
      <c r="R6" s="486"/>
      <c r="S6" s="486"/>
      <c r="T6" s="486"/>
      <c r="U6" s="486"/>
      <c r="V6" s="487"/>
      <c r="W6" s="6"/>
      <c r="X6" s="6"/>
    </row>
    <row r="7" spans="1:72" ht="6.75" customHeight="1" x14ac:dyDescent="0.25">
      <c r="B7" s="3"/>
      <c r="C7" s="116"/>
      <c r="D7" s="3"/>
      <c r="E7" s="116"/>
      <c r="F7" s="7"/>
      <c r="G7" s="121"/>
      <c r="H7" s="7"/>
      <c r="I7" s="121"/>
      <c r="J7" s="7"/>
      <c r="K7" s="7"/>
      <c r="L7" s="7"/>
      <c r="M7" s="7"/>
      <c r="N7" s="7"/>
      <c r="O7" s="121"/>
      <c r="P7" s="7"/>
      <c r="Q7" s="7"/>
      <c r="R7" s="8"/>
      <c r="S7" s="8"/>
      <c r="T7" s="8"/>
      <c r="U7" s="8"/>
      <c r="V7" s="8"/>
      <c r="W7" s="6"/>
      <c r="X7" s="6"/>
    </row>
    <row r="8" spans="1:72" ht="39.75" customHeight="1" x14ac:dyDescent="0.25">
      <c r="A8" s="471" t="s">
        <v>4</v>
      </c>
      <c r="B8" s="471"/>
      <c r="C8" s="471"/>
      <c r="D8" s="471"/>
      <c r="E8" s="75"/>
      <c r="F8" s="488" t="str">
        <f>[2]IdentRiesgo!B3</f>
        <v xml:space="preserve">Coordinar la formulación y hacer el seguimiento de los instrumentos de planeación necesarios para contribuir al cumplimiento de la misión institucional en el marco de las políticas vigentes. </v>
      </c>
      <c r="G8" s="489"/>
      <c r="H8" s="489"/>
      <c r="I8" s="489"/>
      <c r="J8" s="489"/>
      <c r="K8" s="489"/>
      <c r="L8" s="489"/>
      <c r="M8" s="489"/>
      <c r="N8" s="489"/>
      <c r="O8" s="489"/>
      <c r="P8" s="489"/>
      <c r="Q8" s="489"/>
      <c r="R8" s="489"/>
      <c r="S8" s="489"/>
      <c r="T8" s="489"/>
      <c r="U8" s="489"/>
      <c r="V8" s="490"/>
      <c r="W8" s="9"/>
      <c r="X8" s="9"/>
    </row>
    <row r="9" spans="1:72" ht="6.75" customHeight="1" x14ac:dyDescent="0.25">
      <c r="B9" s="10"/>
      <c r="C9" s="119"/>
      <c r="D9" s="10"/>
      <c r="E9" s="119"/>
      <c r="F9" s="11"/>
      <c r="G9" s="122"/>
      <c r="H9" s="11"/>
      <c r="I9" s="122"/>
      <c r="J9" s="11"/>
      <c r="K9" s="11"/>
      <c r="L9" s="11"/>
      <c r="M9" s="11"/>
      <c r="N9" s="11"/>
      <c r="O9" s="122"/>
      <c r="P9" s="11"/>
      <c r="Q9" s="11"/>
      <c r="R9" s="8"/>
      <c r="S9" s="8"/>
      <c r="T9" s="8"/>
      <c r="U9" s="8"/>
      <c r="V9" s="8"/>
      <c r="W9" s="6"/>
      <c r="X9" s="6"/>
    </row>
    <row r="10" spans="1:72" ht="15" x14ac:dyDescent="0.25">
      <c r="A10" s="471" t="s">
        <v>5</v>
      </c>
      <c r="B10" s="471"/>
      <c r="C10" s="471"/>
      <c r="D10" s="471"/>
      <c r="E10" s="75"/>
      <c r="F10" s="472" t="s">
        <v>71</v>
      </c>
      <c r="G10" s="473"/>
      <c r="H10" s="473"/>
      <c r="I10" s="473"/>
      <c r="J10" s="473"/>
      <c r="K10" s="473"/>
      <c r="L10" s="473"/>
      <c r="M10" s="473"/>
      <c r="N10" s="473"/>
      <c r="O10" s="473"/>
      <c r="P10" s="473"/>
      <c r="Q10" s="473"/>
      <c r="R10" s="473"/>
      <c r="S10" s="473"/>
      <c r="T10" s="473"/>
      <c r="U10" s="473"/>
      <c r="V10" s="474"/>
      <c r="W10" s="12"/>
      <c r="X10" s="12"/>
    </row>
    <row r="11" spans="1:72" ht="5.25" customHeight="1" x14ac:dyDescent="0.25">
      <c r="B11" s="3"/>
      <c r="C11" s="116"/>
      <c r="D11" s="3"/>
      <c r="E11" s="116"/>
      <c r="F11" s="13"/>
      <c r="G11" s="141"/>
      <c r="H11" s="13"/>
      <c r="I11" s="141"/>
      <c r="J11" s="13"/>
      <c r="K11" s="13"/>
      <c r="L11" s="13"/>
      <c r="M11" s="13"/>
      <c r="N11" s="13"/>
      <c r="O11" s="141"/>
      <c r="P11" s="13"/>
      <c r="Q11" s="13"/>
      <c r="R11" s="8"/>
      <c r="S11" s="8"/>
      <c r="T11" s="8"/>
      <c r="U11" s="8"/>
      <c r="V11" s="8"/>
      <c r="W11" s="6"/>
      <c r="X11" s="6"/>
    </row>
    <row r="12" spans="1:72" ht="15.75" x14ac:dyDescent="0.25">
      <c r="A12" s="471" t="s">
        <v>6</v>
      </c>
      <c r="B12" s="471"/>
      <c r="C12" s="471"/>
      <c r="D12" s="471"/>
      <c r="E12" s="75"/>
      <c r="F12" s="503">
        <f ca="1">NOW()</f>
        <v>43130.660336342589</v>
      </c>
      <c r="G12" s="504"/>
      <c r="H12" s="504"/>
      <c r="I12" s="504"/>
      <c r="J12" s="504"/>
      <c r="K12" s="504"/>
      <c r="L12" s="504"/>
      <c r="M12" s="504"/>
      <c r="N12" s="504"/>
      <c r="O12" s="504"/>
      <c r="P12" s="504"/>
      <c r="Q12" s="504"/>
      <c r="R12" s="504"/>
      <c r="S12" s="504"/>
      <c r="T12" s="504"/>
      <c r="U12" s="504"/>
      <c r="V12" s="505"/>
      <c r="W12" s="12"/>
      <c r="X12" s="12"/>
      <c r="AA12" s="2" t="s">
        <v>7</v>
      </c>
    </row>
    <row r="13" spans="1:72" ht="15.75" thickBot="1" x14ac:dyDescent="0.3">
      <c r="B13" s="3"/>
      <c r="C13" s="116"/>
      <c r="D13" s="3"/>
      <c r="E13" s="116"/>
      <c r="F13" s="14"/>
      <c r="G13" s="123"/>
      <c r="H13" s="15"/>
      <c r="I13" s="120"/>
      <c r="J13" s="15"/>
      <c r="K13" s="7"/>
      <c r="L13" s="15"/>
      <c r="M13" s="7"/>
      <c r="N13" s="7"/>
      <c r="O13" s="121"/>
      <c r="P13" s="7"/>
      <c r="Q13" s="7"/>
      <c r="R13" s="7"/>
      <c r="S13" s="15"/>
      <c r="T13" s="7"/>
      <c r="W13" s="6"/>
      <c r="X13" s="6"/>
      <c r="AA13" s="2" t="s">
        <v>8</v>
      </c>
      <c r="AG13" s="475" t="s">
        <v>9</v>
      </c>
      <c r="AH13" s="475"/>
      <c r="AI13" s="475"/>
      <c r="AJ13" s="475"/>
      <c r="AK13" s="475"/>
      <c r="AL13" s="475"/>
      <c r="AM13" s="475"/>
      <c r="AN13" s="475"/>
      <c r="AO13" s="475"/>
      <c r="AP13" s="475"/>
      <c r="AQ13" s="475"/>
      <c r="AR13" s="475"/>
      <c r="AS13" s="475"/>
      <c r="AT13" s="475"/>
      <c r="AU13" s="475"/>
      <c r="AV13" s="475"/>
      <c r="AW13" s="475"/>
      <c r="AX13" s="475"/>
      <c r="AY13" s="475"/>
      <c r="BA13" s="475" t="s">
        <v>10</v>
      </c>
      <c r="BB13" s="475"/>
      <c r="BC13" s="475"/>
      <c r="BD13" s="475"/>
      <c r="BE13" s="475"/>
      <c r="BF13" s="475"/>
      <c r="BG13" s="475"/>
      <c r="BH13" s="475"/>
      <c r="BI13" s="475"/>
      <c r="BJ13" s="475"/>
      <c r="BK13" s="475"/>
      <c r="BL13" s="475"/>
      <c r="BM13" s="475"/>
      <c r="BN13" s="475"/>
      <c r="BO13" s="475"/>
      <c r="BP13" s="475"/>
      <c r="BQ13" s="475"/>
      <c r="BR13" s="475"/>
      <c r="BS13" s="475"/>
      <c r="BT13" s="475"/>
    </row>
    <row r="14" spans="1:72" s="17" customFormat="1" ht="15" customHeight="1" x14ac:dyDescent="0.25">
      <c r="A14" s="476" t="s">
        <v>11</v>
      </c>
      <c r="B14" s="477"/>
      <c r="C14" s="477"/>
      <c r="D14" s="478"/>
      <c r="E14" s="76"/>
      <c r="F14" s="479" t="s">
        <v>12</v>
      </c>
      <c r="G14" s="479"/>
      <c r="H14" s="479"/>
      <c r="I14" s="136"/>
      <c r="J14" s="16"/>
      <c r="K14" s="480" t="s">
        <v>13</v>
      </c>
      <c r="L14" s="476" t="s">
        <v>14</v>
      </c>
      <c r="M14" s="477"/>
      <c r="N14" s="478"/>
      <c r="O14" s="158"/>
      <c r="P14" s="483" t="s">
        <v>15</v>
      </c>
      <c r="Q14" s="483"/>
      <c r="R14" s="483"/>
      <c r="S14" s="483" t="s">
        <v>16</v>
      </c>
      <c r="T14" s="483"/>
      <c r="U14" s="483"/>
      <c r="V14" s="483"/>
    </row>
    <row r="15" spans="1:72" s="17" customFormat="1" ht="14.25" customHeight="1" x14ac:dyDescent="0.25">
      <c r="A15" s="481" t="s">
        <v>17</v>
      </c>
      <c r="B15" s="481" t="s">
        <v>18</v>
      </c>
      <c r="C15" s="159"/>
      <c r="D15" s="481" t="s">
        <v>19</v>
      </c>
      <c r="E15" s="159"/>
      <c r="F15" s="461" t="s">
        <v>20</v>
      </c>
      <c r="G15" s="461"/>
      <c r="H15" s="461"/>
      <c r="I15" s="161"/>
      <c r="J15" s="50"/>
      <c r="K15" s="481"/>
      <c r="L15" s="466" t="s">
        <v>21</v>
      </c>
      <c r="M15" s="467"/>
      <c r="N15" s="468"/>
      <c r="O15" s="162"/>
      <c r="P15" s="466" t="s">
        <v>22</v>
      </c>
      <c r="Q15" s="467"/>
      <c r="R15" s="468"/>
      <c r="S15" s="461" t="s">
        <v>23</v>
      </c>
      <c r="T15" s="461" t="s">
        <v>24</v>
      </c>
      <c r="U15" s="461" t="s">
        <v>5</v>
      </c>
      <c r="V15" s="461" t="s">
        <v>25</v>
      </c>
    </row>
    <row r="16" spans="1:72" s="17" customFormat="1" ht="63" customHeight="1" x14ac:dyDescent="0.25">
      <c r="A16" s="484"/>
      <c r="B16" s="484"/>
      <c r="C16" s="160" t="s">
        <v>77</v>
      </c>
      <c r="D16" s="484"/>
      <c r="E16" s="160" t="s">
        <v>78</v>
      </c>
      <c r="F16" s="50" t="s">
        <v>26</v>
      </c>
      <c r="G16" s="161" t="s">
        <v>77</v>
      </c>
      <c r="H16" s="50" t="s">
        <v>10</v>
      </c>
      <c r="I16" s="161" t="s">
        <v>77</v>
      </c>
      <c r="J16" s="50" t="s">
        <v>27</v>
      </c>
      <c r="K16" s="482"/>
      <c r="L16" s="19" t="s">
        <v>26</v>
      </c>
      <c r="M16" s="19" t="s">
        <v>10</v>
      </c>
      <c r="N16" s="51" t="s">
        <v>27</v>
      </c>
      <c r="O16" s="160" t="s">
        <v>81</v>
      </c>
      <c r="P16" s="50" t="s">
        <v>28</v>
      </c>
      <c r="Q16" s="50" t="s">
        <v>24</v>
      </c>
      <c r="R16" s="50" t="s">
        <v>29</v>
      </c>
      <c r="S16" s="461"/>
      <c r="T16" s="461"/>
      <c r="U16" s="461"/>
      <c r="V16" s="461"/>
    </row>
    <row r="17" spans="1:70" ht="153.75" customHeight="1" x14ac:dyDescent="0.25">
      <c r="A17" s="261" t="str">
        <f>IF(ISTEXT([3]IdentificaciónRiesgos!$B7),[3]IdentificaciónRiesgos!$A7,"")</f>
        <v>Intereses mutuos o recibimiento de dádivas.</v>
      </c>
      <c r="B17" s="261" t="str">
        <f>IF(ISTEXT([3]IdentificaciónRiesgos!$B7),[3]IdentificaciónRiesgos!$B7,"")</f>
        <v>Aprobar CDP que no esten en el POA (Plan Operativo Anual)</v>
      </c>
      <c r="C17" s="261" t="str">
        <f>IF(ISTEXT([3]IdentificaciónRiesgos!$B7),[3]IdentificaciónRiesgos!$C7,"")</f>
        <v>Aprobar CDP que no esten en el POA (Plan Operativo Anual), en beneficio a un particular</v>
      </c>
      <c r="D17" s="261" t="str">
        <f>IF(ISTEXT([3]IdentificaciónRiesgos!$B7),[3]IdentificaciónRiesgos!$D7,"")</f>
        <v>1. Hallazgos en auditorias de los entes de Control. 
2. Perdida de credibilidad en la gestión de la Entidad. 
3. Detrimento patrimonial.</v>
      </c>
      <c r="E17" s="255" t="str">
        <f>IF(ISTEXT([3]IdentificaciónRiesgos!$B7),VLOOKUP($C17,[3]DefiniciónRiesgos!$A$4:$F$9,6,FALSE),"")</f>
        <v>RIESGO DE CORRUPCIÓN</v>
      </c>
      <c r="F17" s="256">
        <f>IF(ISTEXT([3]IdentificaciónRiesgos!$B7),IF(EXACT([3]AnálisisRiesgos!$B10,"X"),5,IF(EXACT([3]AnálisisRiesgos!$C10,"X"),4,IF(EXACT([3]AnálisisRiesgos!$D10,"X"),3,IF(EXACT([3]AnálisisRiesgos!$E10,"X"),2,IF(EXACT([3]AnálisisRiesgos!$F10,"X"),1,""))))),"")</f>
        <v>1</v>
      </c>
      <c r="G17" s="256" t="str">
        <f t="shared" ref="G17" si="0">IF(EXACT($F17,5),"Casí Seguro",IF(EXACT($F17,4),"Probable",IF(EXACT($F17,3),"Posible",IF(EXACT($F17,2),"Improbable","Rara Vez"))))</f>
        <v>Rara Vez</v>
      </c>
      <c r="H17" s="257">
        <f>IF(EXACT($B17,""),"",IF(EXACT($E17,"RIESGO DE GESTIÓN"),IF(EXACT([3]AnálisisRiesgos!$G10,"X"),5,IF(EXACT([3]AnálisisRiesgos!$H10,"X"),4,IF(EXACT([3]AnálisisRiesgos!$I10,"X"),3,IF(EXACT([3]AnálisisRiesgos!$J10,"X"),2,1)))),IF(EXACT([3]AnálisisRiesgos!$L10,"X"),20,IF(EXACT([3]AnálisisRiesgos!$M10,"X"),10,5))))</f>
        <v>10</v>
      </c>
      <c r="I17" s="257" t="str">
        <f t="shared" ref="I17" si="1">IF(EXACT($E17,"RIESGO DE GESTIÓN"),IF(EXACT($H17,1),"Insignificante",IF(EXACT($H17,2),"Menor",IF(EXACT($H17,3),"Moderado",IF(EXACT($H17,4),"Mayor","Catastrófico")))),IF(EXACT($H17,5),"Moderado",IF(EXACT($H17,10),"Mayor","Catastrófico")))</f>
        <v>Mayor</v>
      </c>
      <c r="J17" s="258" t="s">
        <v>40</v>
      </c>
      <c r="K17" s="217" t="s">
        <v>159</v>
      </c>
      <c r="L17" s="506" t="s">
        <v>10</v>
      </c>
      <c r="M17" s="507"/>
      <c r="N17" s="258" t="s">
        <v>40</v>
      </c>
      <c r="O17" s="259" t="s">
        <v>97</v>
      </c>
      <c r="P17" s="260" t="s">
        <v>70</v>
      </c>
      <c r="Q17" s="233" t="s">
        <v>160</v>
      </c>
      <c r="R17" s="260" t="s">
        <v>161</v>
      </c>
      <c r="S17" s="262"/>
      <c r="T17" s="218"/>
      <c r="U17" s="361" t="s">
        <v>246</v>
      </c>
      <c r="V17" s="247" t="s">
        <v>247</v>
      </c>
      <c r="W17" s="184"/>
      <c r="X17" s="26" t="str">
        <f>IF(AND(F17=1,H17=5),$H$24,IF(AND(F17=1,H17=10),$J$24,IF(AND(F17=1,H17=20),$K$24," ")))</f>
        <v>B</v>
      </c>
      <c r="Y17" s="26" t="str">
        <f>IF(AND(F17=2,H17=5),$H$25,IF(AND(F17=2,H17=10),$J$25,IF(AND(F17=2,H17=20),$K$25," ")))</f>
        <v xml:space="preserve"> </v>
      </c>
      <c r="Z17" s="26" t="str">
        <f>IF(AND(F17=3,H17=5),$H$26,IF(AND(F17=3,H17=10),$J$26,IF(AND(F17=3,H17=20),$K$26," ")))</f>
        <v xml:space="preserve"> </v>
      </c>
      <c r="AA17" s="26" t="str">
        <f>IF(AND(F17=4,H17=5),$H$27,IF(AND(F17=4,H17=10),$J$27,IF(AND(F17=4,H17=20),$K$27," ")))</f>
        <v xml:space="preserve"> </v>
      </c>
      <c r="AB17" s="26" t="str">
        <f>IF(AND(F17=5,H17=5),$H$28,IF(AND(F17=5,H17=10),$J$28,IF(AND(F17=5,H17=20),$K$28," ")))</f>
        <v xml:space="preserve"> </v>
      </c>
      <c r="AE17" s="26" t="str">
        <f>IF(AND(L17&gt;0,[2]EvaluaciónRiesgoCorrup!$F$11&gt;75,F17=1,H17=5),$H$24,IF(AND(L17&gt;0,[2]EvaluaciónRiesgoCorrup!$F$11&gt;75,F17=1,H17=10),$J$24,IF(AND(L17&gt;0,[2]EvaluaciónRiesgoCorrup!$F$11&gt;75,F17=1,H17=20),$K$24," ")))</f>
        <v>B</v>
      </c>
      <c r="AF17" s="26" t="str">
        <f>IF(AND(L17&gt;0,[2]EvaluaciónRiesgoCorrup!$F$11&gt;75,F17=2,H17=5),$H$24,IF(AND(L17&gt;0,[2]EvaluaciónRiesgoCorrup!$F$11&gt;75,F17=2,H17=10),$J$24,IF(AND(L17&gt;0,[2]EvaluaciónRiesgoCorrup!$F$11&gt;75,F17=2,H17=20),$K$24," ")))</f>
        <v xml:space="preserve"> </v>
      </c>
      <c r="AG17" s="26" t="str">
        <f>IF(AND(L17&gt;0,[2]EvaluaciónRiesgoCorrup!$F$11&gt;75,F17=3,H17=5),$H$24,IF(AND(L17&gt;0,[2]EvaluaciónRiesgoCorrup!$F$11&gt;75,F17=3,H17=10),$J$24,IF(AND(L17&gt;0,[2]EvaluaciónRiesgoCorrup!$F$11&gt;75,F17=3,H17=20),$K$24," ")))</f>
        <v xml:space="preserve"> </v>
      </c>
      <c r="AH17" s="26" t="str">
        <f>IF(AND(L17&gt;0,[2]EvaluaciónRiesgoCorrup!$F$11&gt;75,F17=4,H17=5),$H$25,IF(AND(L17&gt;0,[2]EvaluaciónRiesgoCorrup!$F$11&gt;75,F17=4,H17=10),$J$25,IF(AND(L17&gt;0,[2]EvaluaciónRiesgoCorrup!$F$11&gt;75,F17=4,H17=20),$K$25," ")))</f>
        <v xml:space="preserve"> </v>
      </c>
      <c r="AI17" s="26" t="str">
        <f>IF(AND(L17&gt;0,[2]EvaluaciónRiesgoCorrup!$F$11&gt;75,F17=5,H17=5),$H$26,IF(AND(L17&gt;0,[2]EvaluaciónRiesgoCorrup!$F$11&gt;75,F17=5,H17=10),$J$26,IF(AND(L17&gt;0,[2]EvaluaciónRiesgoCorrup!$F$11&gt;75,F17=5,H17=20),$K$26," ")))</f>
        <v xml:space="preserve"> </v>
      </c>
      <c r="AK17" s="26" t="str">
        <f>IF(AND(L17&gt;0,[2]EvaluaciónRiesgoCorrup!$F$11&gt;50,[2]EvaluaciónRiesgoCorrup!$F$11&lt;76,F17=1,H17=5),$H$24,IF(AND(L17&gt;0,[2]EvaluaciónRiesgoCorrup!$F$11&gt;50,[2]EvaluaciónRiesgoCorrup!$F$11&lt;76,F17=1,H17=10),$J$24,IF(AND(L17&gt;0,[2]EvaluaciónRiesgoCorrup!$F$11&gt;50,[2]EvaluaciónRiesgoCorrup!$F$11&lt;76,F17=1,H17=20),$K$24," ")))</f>
        <v xml:space="preserve"> </v>
      </c>
      <c r="AL17" s="26" t="str">
        <f>IF(AND(L17&gt;0,[2]EvaluaciónRiesgoCorrup!$F$11&gt;50,[2]EvaluaciónRiesgoCorrup!$F$11&lt;76,F17=2,H17=5),$H$24,IF(AND(L17&gt;0,[2]EvaluaciónRiesgoCorrup!$F$11&gt;50,[2]EvaluaciónRiesgoCorrup!$F$11&lt;76,F17=2,H17=10),$J$24,IF(AND(L17&gt;0,[2]EvaluaciónRiesgoCorrup!$F$11&gt;50,[2]EvaluaciónRiesgoCorrup!$F$11&lt;76,F17=2,H17=20),$K$24," ")))</f>
        <v xml:space="preserve"> </v>
      </c>
      <c r="AM17" s="26" t="str">
        <f>IF(AND(L17&gt;0,[2]EvaluaciónRiesgoCorrup!$F$11&gt;50,[2]EvaluaciónRiesgoCorrup!$F$11&lt;76,F17=3,H17=5),$H$25,IF(AND(L17&gt;0,[2]EvaluaciónRiesgoCorrup!$F$11&gt;50,[2]EvaluaciónRiesgoCorrup!$F$11&lt;76,F17=3,H17=10),$J$25,IF(AND(L17&gt;0,[2]EvaluaciónRiesgoCorrup!$F$11&gt;50,[2]EvaluaciónRiesgoCorrup!$F$11&lt;76,F17=3,H17=20),$K$25," ")))</f>
        <v xml:space="preserve"> </v>
      </c>
      <c r="AN17" s="26" t="str">
        <f>IF(AND(L17&gt;0,[2]EvaluaciónRiesgoCorrup!$F$11&gt;50,[2]EvaluaciónRiesgoCorrup!$F$11&lt;76,F17=4,H17=5),$H$26,IF(AND(L17&gt;0,[2]EvaluaciónRiesgoCorrup!$F$11&gt;50,[2]EvaluaciónRiesgoCorrup!$F$11&lt;76,F17=4,H17=10),$J$26,IF(AND(L17&gt;0,[2]EvaluaciónRiesgoCorrup!$F$11&gt;50,[2]EvaluaciónRiesgoCorrup!$F$11&lt;76,F17=4,H17=20),$K$26," ")))</f>
        <v xml:space="preserve"> </v>
      </c>
      <c r="AO17" s="26" t="str">
        <f>IF(AND(L17&gt;0,[2]EvaluaciónRiesgoCorrup!$F$11&gt;50,[2]EvaluaciónRiesgoCorrup!$F$11&lt;76,F17=5,H17=5),$H$27,IF(AND(L17&gt;0,[2]EvaluaciónRiesgoCorrup!$F$11&gt;50,[2]EvaluaciónRiesgoCorrup!$F$11&lt;76,F17=5,H17=10),$J$27,IF(AND(L17&gt;0,[2]EvaluaciónRiesgoCorrup!$F$11&gt;50,[2]EvaluaciónRiesgoCorrup!$F$11&lt;76,F17=5,H17=20),$K$27," ")))</f>
        <v xml:space="preserve"> </v>
      </c>
      <c r="AR17" s="26" t="str">
        <f>IF(AND(L17&gt;0,[2]EvaluaciónRiesgoCorrup!$F$11&lt;51,F17=1,H17=5),$H$24,IF(AND(L17&gt;0,[2]EvaluaciónRiesgoCorrup!$F$11&lt;51,F17=1,H17=10),$J$24,IF(AND(L17&gt;0,[2]EvaluaciónRiesgoCorrup!$F$11&lt;51,F17=1,H17=20),K$24," ")))</f>
        <v xml:space="preserve"> </v>
      </c>
      <c r="AS17" s="26" t="str">
        <f>IF(AND(L17&gt;0,[2]EvaluaciónRiesgoCorrup!$F$11&lt;51,F17=2,H17=5),$H$25,IF(AND(L17&gt;0,[2]EvaluaciónRiesgoCorrup!$F$11&lt;51,F17=2,H17=10),$J$25,IF(AND(L17&gt;0,[2]EvaluaciónRiesgoCorrup!$F$11&lt;51,F17=2,H17=20),K$25," ")))</f>
        <v xml:space="preserve"> </v>
      </c>
      <c r="AT17" s="26" t="str">
        <f>IF(AND(L17&gt;0,[2]EvaluaciónRiesgoCorrup!$F$11&lt;51,F17=3,H17=5),$H$26,IF(AND(L17&gt;0,[2]EvaluaciónRiesgoCorrup!$F$11&lt;51,F17=3,H17=10),$J$26,IF(AND(L17&gt;0,[2]EvaluaciónRiesgoCorrup!$F$11&lt;51,F17=3,H17=20),K$26," ")))</f>
        <v xml:space="preserve"> </v>
      </c>
      <c r="AU17" s="26" t="str">
        <f>IF(AND(L17&gt;0,[2]EvaluaciónRiesgoCorrup!$F$11&lt;51,F17=4,H17=5),$H$27,IF(AND(L17&gt;0,[2]EvaluaciónRiesgoCorrup!$F$11&lt;51,F17=4,H17=10),$J$27,IF(AND(L17&gt;0,[2]EvaluaciónRiesgoCorrup!$F$11&lt;51,F17=4,H17=20),K$27," ")))</f>
        <v xml:space="preserve"> </v>
      </c>
      <c r="AV17" s="26" t="str">
        <f>IF(AND(L17&gt;0,[2]EvaluaciónRiesgoCorrup!$F$11&lt;51,F17=5,H17=5),$H$28,IF(AND(L17&gt;0,[2]EvaluaciónRiesgoCorrup!$F$11&lt;51,F17=5,H17=10),$J$28,IF(AND(L17&gt;0,[2]EvaluaciónRiesgoCorrup!$F$11&lt;51,F17=5,H17=20),K$28," ")))</f>
        <v xml:space="preserve"> </v>
      </c>
      <c r="AZ17" s="26" t="str">
        <f>IF(AND(M17&gt;0,[2]EvaluaciónRiesgoCorrup!$F$11&gt;75,F17=1,H17=5),$H$24,IF(AND(M17&gt;0,[2]EvaluaciónRiesgoCorrup!$F$11&gt;75,F17=1,H17=10),$H$24,IF(AND(M17&gt;0,[2]EvaluaciónRiesgoCorrup!$F$11&gt;75,F17=1,H17=20),$H$24," ")))</f>
        <v xml:space="preserve"> </v>
      </c>
      <c r="BA17" s="26" t="str">
        <f>IF(AND(M17&gt;0,[2]EvaluaciónRiesgoCorrup!$F$11&gt;75,F17=2,H17=5),$H$25,IF(AND(M17&gt;0,[2]EvaluaciónRiesgoCorrup!$F$11&gt;75,F17=2,H17=10),$H$25,IF(AND(M17&gt;0,[2]EvaluaciónRiesgoCorrup!$F$11&gt;75,F17=2,H17=20),$H$25," ")))</f>
        <v xml:space="preserve"> </v>
      </c>
      <c r="BB17" s="26" t="str">
        <f>IF(AND(M17&gt;0,[2]EvaluaciónRiesgoCorrup!$F$11&gt;75,F17=3,H17=5),$H$26,IF(AND(M17&gt;0,[2]EvaluaciónRiesgoCorrup!$F$11&gt;75,F17=3,H17=10),$H$26,IF(AND(M17&gt;0,[2]EvaluaciónRiesgoCorrup!$F$11&gt;75,F17=3,H17=20),$H$26," ")))</f>
        <v xml:space="preserve"> </v>
      </c>
      <c r="BC17" s="26" t="str">
        <f>IF(AND(M17&gt;0,[2]EvaluaciónRiesgoCorrup!$F$11&gt;75,F17=4,H17=5),$H$27,IF(AND(M17&gt;0,[2]EvaluaciónRiesgoCorrup!$F$11&gt;75,F17=4,H17=10),$H$27,IF(AND(M17&gt;0,[2]EvaluaciónRiesgoCorrup!$F$11&gt;75,F17=4,H17=20),$H$27," ")))</f>
        <v xml:space="preserve"> </v>
      </c>
      <c r="BD17" s="26" t="str">
        <f>IF(AND(M17&gt;0,[2]EvaluaciónRiesgoCorrup!$F$11&gt;75,F17=5,H17=5),$H$28,IF(AND(M17&gt;0,[2]EvaluaciónRiesgoCorrup!$F$11&gt;75,F17=5,H17=10),$H$28,IF(AND(M17&gt;0,[2]EvaluaciónRiesgoCorrup!$F$11&gt;75,F17=5,H17=20),$H$28," ")))</f>
        <v xml:space="preserve"> </v>
      </c>
      <c r="BG17" s="26" t="str">
        <f>IF(AND(M17&gt;0,[2]EvaluaciónRiesgoCorrup!$F$11&gt;50,[2]EvaluaciónRiesgoCorrup!$F$11&lt;76,F17=1,H17=5),$H$24,IF(AND(M17&gt;0,[2]EvaluaciónRiesgoCorrup!$F$11&gt;50,[2]EvaluaciónRiesgoCorrup!$F$11&lt;76,F17=1,H17=10),$H$24,IF(AND(M17&gt;0,[2]EvaluaciónRiesgoCorrup!$F$11&gt;50,[2]EvaluaciónRiesgoCorrup!$F$11&lt;76,F17=1,H17=20),$J$24," ")))</f>
        <v xml:space="preserve"> </v>
      </c>
      <c r="BH17" s="26" t="str">
        <f>IF(AND(M17&gt;0,[2]EvaluaciónRiesgoCorrup!$F$11&gt;50,[2]EvaluaciónRiesgoCorrup!$F$11&lt;76,F17=2,H17=5),$H$25,IF(AND(M17&gt;0,[2]EvaluaciónRiesgoCorrup!$F$11&gt;50,[2]EvaluaciónRiesgoCorrup!$F$11&lt;76,F17=2,H17=10),$H$25,IF(AND(M17&gt;0,[2]EvaluaciónRiesgoCorrup!$F$11&gt;50,[2]EvaluaciónRiesgoCorrup!$F$11&lt;76,F17=2,H17=20),$J$25," ")))</f>
        <v xml:space="preserve"> </v>
      </c>
      <c r="BI17" s="26" t="str">
        <f>IF(AND(M17&gt;0,[2]EvaluaciónRiesgoCorrup!$F$11&gt;50,[2]EvaluaciónRiesgoCorrup!$F$11&lt;76,F17=3,H17=5),$H$26,IF(AND(M17&gt;0,[2]EvaluaciónRiesgoCorrup!$F$11&gt;50,[2]EvaluaciónRiesgoCorrup!$F$11&lt;76,F17=3,H17=10),$H$26,IF(AND(M17&gt;0,[2]EvaluaciónRiesgoCorrup!$F$11&gt;50,[2]EvaluaciónRiesgoCorrup!$F$11&lt;76,F17=3,H17=20),$J$26," ")))</f>
        <v xml:space="preserve"> </v>
      </c>
      <c r="BJ17" s="26" t="str">
        <f>IF(AND(M17&gt;0,[2]EvaluaciónRiesgoCorrup!$F$11&gt;50,[2]EvaluaciónRiesgoCorrup!$F$11&lt;76,F17=4,H17=5),$H$27,IF(AND(M17&gt;0,[2]EvaluaciónRiesgoCorrup!$F$11&gt;50,[2]EvaluaciónRiesgoCorrup!$F$11&lt;76,F17=4,H17=10),$H$27,IF(AND(M17&gt;0,[2]EvaluaciónRiesgoCorrup!$F$11&gt;50,[2]EvaluaciónRiesgoCorrup!$F$11&lt;76,F17=4,H17=20),$J$27," ")))</f>
        <v xml:space="preserve"> </v>
      </c>
      <c r="BK17" s="26" t="str">
        <f>IF(AND(M17&gt;0,[2]EvaluaciónRiesgoCorrup!$F$11&gt;50,[2]EvaluaciónRiesgoCorrup!$F$11&lt;76,F17=5,H17=5),$H$28,IF(AND(M17&gt;0,[2]EvaluaciónRiesgoCorrup!$F$11&gt;50,[2]EvaluaciónRiesgoCorrup!$F$11&lt;76,F17=5,H17=10),$H$28,IF(AND(M17&gt;0,[2]EvaluaciónRiesgoCorrup!$F$11&gt;50,[2]EvaluaciónRiesgoCorrup!$F$11&lt;76,F17=5,H17=20),$J$28," ")))</f>
        <v xml:space="preserve"> </v>
      </c>
      <c r="BN17" s="26" t="str">
        <f>IF(AND(M17&gt;0,[2]EvaluaciónRiesgoCorrup!$F$11&lt;51,F17=1,H17=5),$H$24,IF(AND(M17&gt;0,[2]EvaluaciónRiesgoCorrup!$F$11&lt;51,F17=1,H17=10),$J$24,IF(AND(M17&gt;0,[2]EvaluaciónRiesgoCorrup!$F$11&lt;51,F17=1,H17=20),$K$24," ")))</f>
        <v xml:space="preserve"> </v>
      </c>
      <c r="BO17" s="26" t="str">
        <f>IF(AND(M17&gt;0,[2]EvaluaciónRiesgoCorrup!$F$11&lt;51,F17=2,H17=5),$H$25,IF(AND(M17&gt;0,[2]EvaluaciónRiesgoCorrup!$F$11&lt;51,F17=2,H17=10),$J$25,IF(AND(M17&gt;0,[2]EvaluaciónRiesgoCorrup!$F$11&lt;51,F17=2,H17=20),$K$25," ")))</f>
        <v xml:space="preserve"> </v>
      </c>
      <c r="BP17" s="26" t="str">
        <f>IF(AND(M17&gt;0,[2]EvaluaciónRiesgoCorrup!$F$11&lt;51,F17=3,H17=5),$H$26,IF(AND(M17&gt;0,[2]EvaluaciónRiesgoCorrup!$F$11&lt;51,F17=3,H17=10),$J$26,IF(AND(M17&gt;0,[2]EvaluaciónRiesgoCorrup!$F$11&lt;51,F17=3,H17=20),$K$26," ")))</f>
        <v xml:space="preserve"> </v>
      </c>
      <c r="BQ17" s="26" t="str">
        <f>IF(AND(M17&gt;0,[2]EvaluaciónRiesgoCorrup!$F$11&lt;51,F17=4,H17=5),$H$27,IF(AND(M17&gt;0,[2]EvaluaciónRiesgoCorrup!$F$11&lt;51,F17=4,H17=10),$J$27,IF(AND(M17&gt;0,[2]EvaluaciónRiesgoCorrup!$F$11&lt;51,F17=4,H17=20),$K$27," ")))</f>
        <v xml:space="preserve"> </v>
      </c>
      <c r="BR17" s="26" t="str">
        <f>IF(AND(M17&gt;0,[2]EvaluaciónRiesgoCorrup!$F$11&lt;51,F17=5,H17=5),$H$28,IF(AND(M17&gt;0,[2]EvaluaciónRiesgoCorrup!$F$11&lt;51,F17=5,H17=10),$J$28,IF(AND(M17&gt;0,[2]EvaluaciónRiesgoCorrup!$F$11&lt;51,F17=5,H17=20),$K$28," ")))</f>
        <v xml:space="preserve"> </v>
      </c>
    </row>
    <row r="18" spans="1:70" s="115" customFormat="1" ht="153.75" customHeight="1" x14ac:dyDescent="0.25">
      <c r="A18" s="359"/>
      <c r="B18" s="359"/>
      <c r="C18" s="359"/>
      <c r="D18" s="359"/>
      <c r="E18" s="417"/>
      <c r="F18" s="418"/>
      <c r="G18" s="418"/>
      <c r="H18" s="178"/>
      <c r="I18" s="178"/>
      <c r="J18" s="419"/>
      <c r="K18" s="420"/>
      <c r="L18" s="421"/>
      <c r="M18" s="421"/>
      <c r="N18" s="419"/>
      <c r="O18" s="422"/>
      <c r="P18" s="423"/>
      <c r="Q18" s="424"/>
      <c r="R18" s="423"/>
      <c r="S18" s="425"/>
      <c r="T18" s="426"/>
      <c r="U18" s="423"/>
      <c r="V18" s="427"/>
      <c r="W18" s="184"/>
      <c r="X18" s="6"/>
      <c r="Y18" s="6"/>
      <c r="Z18" s="6"/>
      <c r="AA18" s="6"/>
      <c r="AB18" s="6"/>
      <c r="AE18" s="6"/>
      <c r="AF18" s="6"/>
      <c r="AG18" s="6"/>
      <c r="AH18" s="6"/>
      <c r="AI18" s="6"/>
      <c r="AK18" s="6"/>
      <c r="AL18" s="6"/>
      <c r="AM18" s="6"/>
      <c r="AN18" s="6"/>
      <c r="AO18" s="6"/>
      <c r="AR18" s="6"/>
      <c r="AS18" s="6"/>
      <c r="AT18" s="6"/>
      <c r="AU18" s="6"/>
      <c r="AV18" s="6"/>
      <c r="AZ18" s="6"/>
      <c r="BA18" s="6"/>
      <c r="BB18" s="6"/>
      <c r="BC18" s="6"/>
      <c r="BD18" s="6"/>
      <c r="BG18" s="6"/>
      <c r="BH18" s="6"/>
      <c r="BI18" s="6"/>
      <c r="BJ18" s="6"/>
      <c r="BK18" s="6"/>
      <c r="BN18" s="6"/>
      <c r="BO18" s="6"/>
      <c r="BP18" s="6"/>
      <c r="BQ18" s="6"/>
      <c r="BR18" s="6"/>
    </row>
    <row r="19" spans="1:70" x14ac:dyDescent="0.25">
      <c r="A19" s="52"/>
      <c r="B19" s="22"/>
      <c r="C19" s="124"/>
      <c r="D19" s="22"/>
      <c r="E19" s="78"/>
    </row>
    <row r="20" spans="1:70" x14ac:dyDescent="0.25">
      <c r="A20" s="26"/>
      <c r="B20" s="28"/>
      <c r="C20" s="126"/>
      <c r="D20" s="28"/>
      <c r="E20" s="139"/>
    </row>
    <row r="21" spans="1:70" ht="15" thickBot="1" x14ac:dyDescent="0.3">
      <c r="A21" s="26"/>
      <c r="B21" s="28"/>
      <c r="C21" s="126"/>
      <c r="D21" s="28"/>
      <c r="E21" s="139"/>
      <c r="H21" s="30"/>
      <c r="I21" s="140"/>
      <c r="J21" s="30"/>
    </row>
    <row r="22" spans="1:70" ht="15.75" thickBot="1" x14ac:dyDescent="0.3">
      <c r="A22" s="6"/>
      <c r="B22" s="31"/>
      <c r="C22" s="139"/>
      <c r="D22" s="31"/>
      <c r="E22" s="139"/>
      <c r="F22" s="462" t="s">
        <v>26</v>
      </c>
      <c r="G22" s="77"/>
      <c r="H22" s="464" t="s">
        <v>10</v>
      </c>
      <c r="I22" s="464"/>
      <c r="J22" s="464"/>
      <c r="K22" s="465"/>
      <c r="L22" s="2"/>
      <c r="Q22" s="5"/>
      <c r="S22" s="2"/>
    </row>
    <row r="23" spans="1:70" ht="32.25" customHeight="1" thickBot="1" x14ac:dyDescent="0.3">
      <c r="A23" s="5"/>
      <c r="B23" s="32" t="s">
        <v>34</v>
      </c>
      <c r="C23" s="127"/>
      <c r="D23" s="32"/>
      <c r="E23" s="127"/>
      <c r="F23" s="463"/>
      <c r="G23" s="163"/>
      <c r="H23" s="33" t="s">
        <v>35</v>
      </c>
      <c r="I23" s="128"/>
      <c r="J23" s="34" t="s">
        <v>36</v>
      </c>
      <c r="K23" s="33" t="s">
        <v>37</v>
      </c>
      <c r="L23" s="2"/>
      <c r="Q23" s="5"/>
      <c r="S23" s="2"/>
    </row>
    <row r="24" spans="1:70" ht="15.75" thickBot="1" x14ac:dyDescent="0.3">
      <c r="B24" s="5" t="s">
        <v>38</v>
      </c>
      <c r="C24" s="118"/>
      <c r="F24" s="35" t="s">
        <v>39</v>
      </c>
      <c r="G24" s="129"/>
      <c r="H24" s="36" t="s">
        <v>40</v>
      </c>
      <c r="I24" s="130"/>
      <c r="J24" s="36" t="s">
        <v>40</v>
      </c>
      <c r="K24" s="37" t="s">
        <v>41</v>
      </c>
      <c r="L24" s="2"/>
      <c r="Q24" s="5"/>
      <c r="S24" s="2"/>
    </row>
    <row r="25" spans="1:70" ht="15.75" thickBot="1" x14ac:dyDescent="0.3">
      <c r="F25" s="35" t="s">
        <v>42</v>
      </c>
      <c r="G25" s="129"/>
      <c r="H25" s="36" t="s">
        <v>40</v>
      </c>
      <c r="I25" s="130"/>
      <c r="J25" s="37" t="s">
        <v>41</v>
      </c>
      <c r="K25" s="38" t="s">
        <v>43</v>
      </c>
      <c r="L25" s="2"/>
      <c r="Q25" s="5"/>
      <c r="S25" s="2"/>
    </row>
    <row r="26" spans="1:70" ht="15.75" thickBot="1" x14ac:dyDescent="0.3">
      <c r="F26" s="35" t="s">
        <v>44</v>
      </c>
      <c r="G26" s="129"/>
      <c r="H26" s="37" t="s">
        <v>41</v>
      </c>
      <c r="I26" s="131"/>
      <c r="J26" s="38" t="s">
        <v>43</v>
      </c>
      <c r="K26" s="39" t="s">
        <v>45</v>
      </c>
      <c r="L26" s="2"/>
      <c r="Q26" s="5"/>
      <c r="S26" s="2"/>
    </row>
    <row r="27" spans="1:70" ht="15.75" thickBot="1" x14ac:dyDescent="0.3">
      <c r="F27" s="35" t="s">
        <v>46</v>
      </c>
      <c r="G27" s="129"/>
      <c r="H27" s="37" t="s">
        <v>41</v>
      </c>
      <c r="I27" s="131"/>
      <c r="J27" s="38" t="s">
        <v>43</v>
      </c>
      <c r="K27" s="39" t="s">
        <v>45</v>
      </c>
      <c r="L27" s="2"/>
      <c r="Q27" s="5"/>
      <c r="S27" s="2"/>
    </row>
    <row r="28" spans="1:70" ht="15.75" thickBot="1" x14ac:dyDescent="0.3">
      <c r="F28" s="35" t="s">
        <v>47</v>
      </c>
      <c r="G28" s="129"/>
      <c r="H28" s="37" t="s">
        <v>41</v>
      </c>
      <c r="I28" s="131"/>
      <c r="J28" s="38" t="s">
        <v>43</v>
      </c>
      <c r="K28" s="39" t="s">
        <v>45</v>
      </c>
      <c r="L28" s="2"/>
      <c r="Q28" s="5"/>
      <c r="S28" s="2"/>
    </row>
    <row r="29" spans="1:70" x14ac:dyDescent="0.25">
      <c r="F29" s="2"/>
      <c r="G29" s="115"/>
      <c r="H29" s="2"/>
      <c r="I29" s="115"/>
      <c r="J29" s="2"/>
      <c r="K29" s="5"/>
      <c r="M29" s="5"/>
    </row>
    <row r="30" spans="1:70" ht="15" x14ac:dyDescent="0.25">
      <c r="F30" s="40" t="s">
        <v>48</v>
      </c>
      <c r="G30" s="132"/>
      <c r="H30" s="2"/>
      <c r="I30" s="115"/>
      <c r="J30" s="2"/>
      <c r="K30" s="5"/>
      <c r="M30" s="5"/>
      <c r="N30" s="5"/>
      <c r="O30" s="118"/>
      <c r="P30" s="5"/>
    </row>
    <row r="31" spans="1:70" ht="15" x14ac:dyDescent="0.25">
      <c r="F31" s="41" t="s">
        <v>49</v>
      </c>
      <c r="G31" s="133"/>
      <c r="H31" s="2"/>
      <c r="I31" s="115"/>
      <c r="J31" s="2"/>
      <c r="K31" s="5"/>
      <c r="M31" s="5"/>
      <c r="N31" s="5"/>
      <c r="O31" s="118"/>
      <c r="P31" s="5"/>
    </row>
    <row r="32" spans="1:70" ht="15" x14ac:dyDescent="0.25">
      <c r="F32" s="42" t="s">
        <v>50</v>
      </c>
      <c r="G32" s="134"/>
      <c r="H32" s="2"/>
      <c r="I32" s="115"/>
      <c r="J32" s="2"/>
      <c r="K32" s="5"/>
      <c r="M32" s="5"/>
      <c r="N32" s="5"/>
      <c r="O32" s="118"/>
      <c r="P32" s="5"/>
    </row>
    <row r="33" spans="6:16" ht="15" x14ac:dyDescent="0.25">
      <c r="F33" s="43" t="s">
        <v>51</v>
      </c>
      <c r="G33" s="135"/>
      <c r="H33" s="2"/>
      <c r="I33" s="115"/>
      <c r="J33" s="2"/>
      <c r="K33" s="5"/>
      <c r="M33" s="5"/>
      <c r="N33" s="5"/>
      <c r="O33" s="118"/>
      <c r="P33" s="5"/>
    </row>
  </sheetData>
  <mergeCells count="35">
    <mergeCell ref="T15:T16"/>
    <mergeCell ref="U15:U16"/>
    <mergeCell ref="V15:V16"/>
    <mergeCell ref="F22:F23"/>
    <mergeCell ref="H22:K22"/>
    <mergeCell ref="P15:R15"/>
    <mergeCell ref="L17:M17"/>
    <mergeCell ref="A12:D12"/>
    <mergeCell ref="F12:V12"/>
    <mergeCell ref="AG13:AY13"/>
    <mergeCell ref="BA13:BT13"/>
    <mergeCell ref="A14:D14"/>
    <mergeCell ref="F14:H14"/>
    <mergeCell ref="K14:K16"/>
    <mergeCell ref="L14:N14"/>
    <mergeCell ref="P14:R14"/>
    <mergeCell ref="S14:V14"/>
    <mergeCell ref="A15:A16"/>
    <mergeCell ref="B15:B16"/>
    <mergeCell ref="D15:D16"/>
    <mergeCell ref="F15:H15"/>
    <mergeCell ref="L15:N15"/>
    <mergeCell ref="S15:S16"/>
    <mergeCell ref="A6:D6"/>
    <mergeCell ref="F6:V6"/>
    <mergeCell ref="A8:D8"/>
    <mergeCell ref="F8:V8"/>
    <mergeCell ref="A10:D10"/>
    <mergeCell ref="F10:V10"/>
    <mergeCell ref="A1:D4"/>
    <mergeCell ref="F1:T4"/>
    <mergeCell ref="U1:V1"/>
    <mergeCell ref="U2:V2"/>
    <mergeCell ref="U3:V3"/>
    <mergeCell ref="U4:V4"/>
  </mergeCells>
  <conditionalFormatting sqref="J17:J18 N17:N18">
    <cfRule type="containsText" dxfId="103" priority="5" operator="containsText" text="E">
      <formula>NOT(ISERROR(SEARCH("E",J17)))</formula>
    </cfRule>
    <cfRule type="containsText" dxfId="102" priority="6" operator="containsText" text="M">
      <formula>NOT(ISERROR(SEARCH("M",J17)))</formula>
    </cfRule>
    <cfRule type="containsText" dxfId="101" priority="7" operator="containsText" text="A">
      <formula>NOT(ISERROR(SEARCH("A",J17)))</formula>
    </cfRule>
    <cfRule type="containsText" dxfId="100" priority="8" operator="containsText" text="B">
      <formula>NOT(ISERROR(SEARCH("B",J17)))</formula>
    </cfRule>
  </conditionalFormatting>
  <dataValidations disablePrompts="1" count="3">
    <dataValidation type="list" allowBlank="1" showInputMessage="1" showErrorMessage="1" sqref="L19:O19">
      <formula1>#REF!</formula1>
    </dataValidation>
    <dataValidation type="list" allowBlank="1" showInputMessage="1" showErrorMessage="1" sqref="P19:Q19">
      <formula1>$J$30:$J$33</formula1>
    </dataValidation>
    <dataValidation type="list" allowBlank="1" showInputMessage="1" showErrorMessage="1" promptTitle="AFECTA A:" prompt="Seleccione según a quien afecte el control" sqref="L17:M18">
      <formula1>$XFD$2:$XFD$3</formula1>
    </dataValidation>
  </dataValidations>
  <pageMargins left="0.7" right="0.7" top="0.75" bottom="0.75" header="0.3" footer="0.3"/>
  <pageSetup scale="1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3"/>
  <sheetViews>
    <sheetView showGridLines="0" view="pageBreakPreview" topLeftCell="F4" zoomScale="90" zoomScaleNormal="70" zoomScaleSheetLayoutView="90" workbookViewId="0">
      <selection activeCell="W17" sqref="W17"/>
    </sheetView>
  </sheetViews>
  <sheetFormatPr baseColWidth="10" defaultColWidth="11.42578125" defaultRowHeight="14.25" x14ac:dyDescent="0.25"/>
  <cols>
    <col min="1" max="1" width="41.28515625" style="2" customWidth="1"/>
    <col min="2" max="2" width="40.42578125" style="2" customWidth="1"/>
    <col min="3" max="3" width="40.42578125" style="115" customWidth="1"/>
    <col min="4" max="4" width="40.42578125" style="2" customWidth="1"/>
    <col min="5" max="5" width="40.42578125" style="115" customWidth="1"/>
    <col min="6" max="6" width="27" style="5" customWidth="1"/>
    <col min="7" max="7" width="27" style="118" customWidth="1"/>
    <col min="8" max="8" width="19" style="5" customWidth="1"/>
    <col min="9" max="9" width="19" style="118" customWidth="1"/>
    <col min="10" max="10" width="26.7109375" style="5" customWidth="1"/>
    <col min="11" max="11" width="29.7109375" style="2" customWidth="1"/>
    <col min="12" max="12" width="29.7109375" style="115" customWidth="1"/>
    <col min="13" max="13" width="20.85546875" style="5" customWidth="1"/>
    <col min="14" max="14" width="18.5703125" style="2" customWidth="1"/>
    <col min="15" max="15" width="21.7109375" style="2" customWidth="1"/>
    <col min="16" max="16" width="21.7109375" style="115" customWidth="1"/>
    <col min="17" max="17" width="19.85546875" style="2" customWidth="1"/>
    <col min="18" max="18" width="53" style="2" customWidth="1"/>
    <col min="19" max="19" width="24.5703125" style="2" customWidth="1"/>
    <col min="20" max="20" width="36.42578125" style="5" customWidth="1"/>
    <col min="21" max="21" width="53.42578125" style="2" customWidth="1"/>
    <col min="22" max="24" width="30.42578125" style="2" customWidth="1"/>
    <col min="25" max="25" width="36" style="2" hidden="1" customWidth="1"/>
    <col min="26" max="26" width="0" style="2" hidden="1" customWidth="1"/>
    <col min="27" max="73" width="11.42578125" style="2" hidden="1" customWidth="1"/>
    <col min="74" max="74" width="11.42578125" style="2" customWidth="1"/>
    <col min="75" max="16384" width="11.42578125" style="2"/>
  </cols>
  <sheetData>
    <row r="1" spans="1:73" ht="21" customHeight="1" x14ac:dyDescent="0.25">
      <c r="A1" s="491"/>
      <c r="B1" s="491"/>
      <c r="C1" s="491"/>
      <c r="D1" s="491"/>
      <c r="E1" s="72"/>
      <c r="F1" s="492" t="s">
        <v>0</v>
      </c>
      <c r="G1" s="493"/>
      <c r="H1" s="493"/>
      <c r="I1" s="493"/>
      <c r="J1" s="493"/>
      <c r="K1" s="493"/>
      <c r="L1" s="493"/>
      <c r="M1" s="493"/>
      <c r="N1" s="493"/>
      <c r="O1" s="493"/>
      <c r="P1" s="493"/>
      <c r="Q1" s="493"/>
      <c r="R1" s="493"/>
      <c r="S1" s="493"/>
      <c r="T1" s="493"/>
      <c r="U1" s="494"/>
      <c r="V1" s="501" t="s">
        <v>1</v>
      </c>
      <c r="W1" s="502"/>
      <c r="X1" s="1"/>
      <c r="Y1" s="1"/>
    </row>
    <row r="2" spans="1:73" ht="22.5" customHeight="1" x14ac:dyDescent="0.25">
      <c r="A2" s="491"/>
      <c r="B2" s="491"/>
      <c r="C2" s="491"/>
      <c r="D2" s="491"/>
      <c r="E2" s="73"/>
      <c r="F2" s="495"/>
      <c r="G2" s="496"/>
      <c r="H2" s="496"/>
      <c r="I2" s="496"/>
      <c r="J2" s="496"/>
      <c r="K2" s="496"/>
      <c r="L2" s="496"/>
      <c r="M2" s="496"/>
      <c r="N2" s="496"/>
      <c r="O2" s="496"/>
      <c r="P2" s="496"/>
      <c r="Q2" s="496"/>
      <c r="R2" s="496"/>
      <c r="S2" s="496"/>
      <c r="T2" s="496"/>
      <c r="U2" s="497"/>
      <c r="V2" s="501" t="s">
        <v>162</v>
      </c>
      <c r="W2" s="502"/>
      <c r="X2" s="1"/>
      <c r="Y2" s="1"/>
    </row>
    <row r="3" spans="1:73" ht="21" customHeight="1" x14ac:dyDescent="0.25">
      <c r="A3" s="491"/>
      <c r="B3" s="491"/>
      <c r="C3" s="491"/>
      <c r="D3" s="491"/>
      <c r="E3" s="73"/>
      <c r="F3" s="495"/>
      <c r="G3" s="496"/>
      <c r="H3" s="496"/>
      <c r="I3" s="496"/>
      <c r="J3" s="496"/>
      <c r="K3" s="496"/>
      <c r="L3" s="496"/>
      <c r="M3" s="496"/>
      <c r="N3" s="496"/>
      <c r="O3" s="496"/>
      <c r="P3" s="496"/>
      <c r="Q3" s="496"/>
      <c r="R3" s="496"/>
      <c r="S3" s="496"/>
      <c r="T3" s="496"/>
      <c r="U3" s="497"/>
      <c r="V3" s="501" t="s">
        <v>163</v>
      </c>
      <c r="W3" s="502"/>
      <c r="X3" s="1"/>
      <c r="Y3" s="1"/>
    </row>
    <row r="4" spans="1:73" ht="20.25" customHeight="1" x14ac:dyDescent="0.25">
      <c r="A4" s="491"/>
      <c r="B4" s="491"/>
      <c r="C4" s="491"/>
      <c r="D4" s="491"/>
      <c r="E4" s="74"/>
      <c r="F4" s="498"/>
      <c r="G4" s="499"/>
      <c r="H4" s="499"/>
      <c r="I4" s="499"/>
      <c r="J4" s="499"/>
      <c r="K4" s="499"/>
      <c r="L4" s="499"/>
      <c r="M4" s="499"/>
      <c r="N4" s="499"/>
      <c r="O4" s="499"/>
      <c r="P4" s="499"/>
      <c r="Q4" s="499"/>
      <c r="R4" s="499"/>
      <c r="S4" s="499"/>
      <c r="T4" s="499"/>
      <c r="U4" s="500"/>
      <c r="V4" s="501" t="s">
        <v>2</v>
      </c>
      <c r="W4" s="502"/>
      <c r="X4" s="1"/>
      <c r="Y4" s="1"/>
    </row>
    <row r="5" spans="1:73" ht="8.25" customHeight="1" x14ac:dyDescent="0.25">
      <c r="B5" s="3"/>
      <c r="C5" s="116"/>
      <c r="D5" s="3"/>
      <c r="E5" s="116"/>
      <c r="F5" s="4"/>
      <c r="G5" s="117"/>
      <c r="H5" s="4"/>
      <c r="I5" s="117"/>
      <c r="J5" s="4"/>
      <c r="K5" s="4"/>
      <c r="L5" s="117"/>
      <c r="M5" s="4"/>
      <c r="N5" s="4"/>
      <c r="O5" s="4"/>
      <c r="P5" s="117"/>
      <c r="Q5" s="4"/>
      <c r="R5" s="4"/>
      <c r="X5" s="6"/>
      <c r="Y5" s="6"/>
    </row>
    <row r="6" spans="1:73" ht="15" x14ac:dyDescent="0.25">
      <c r="A6" s="471" t="s">
        <v>3</v>
      </c>
      <c r="B6" s="471"/>
      <c r="C6" s="471"/>
      <c r="D6" s="471"/>
      <c r="E6" s="75"/>
      <c r="F6" s="485" t="str">
        <f>[4]IdentRiesgo!B2</f>
        <v>Generación de Datos e Información Hidrometeorológica y Ambiental para la toma de decisiones</v>
      </c>
      <c r="G6" s="486"/>
      <c r="H6" s="486"/>
      <c r="I6" s="486"/>
      <c r="J6" s="486"/>
      <c r="K6" s="486"/>
      <c r="L6" s="486"/>
      <c r="M6" s="486"/>
      <c r="N6" s="486"/>
      <c r="O6" s="486"/>
      <c r="P6" s="486"/>
      <c r="Q6" s="486"/>
      <c r="R6" s="486"/>
      <c r="S6" s="486"/>
      <c r="T6" s="486"/>
      <c r="U6" s="486"/>
      <c r="V6" s="486"/>
      <c r="W6" s="487"/>
      <c r="X6" s="6"/>
      <c r="Y6" s="6"/>
    </row>
    <row r="7" spans="1:73" ht="6.75" customHeight="1" x14ac:dyDescent="0.25">
      <c r="B7" s="3"/>
      <c r="C7" s="116"/>
      <c r="D7" s="3"/>
      <c r="E7" s="116"/>
      <c r="F7" s="7"/>
      <c r="G7" s="121"/>
      <c r="H7" s="7"/>
      <c r="I7" s="121"/>
      <c r="J7" s="7"/>
      <c r="K7" s="7"/>
      <c r="L7" s="121"/>
      <c r="M7" s="7"/>
      <c r="N7" s="7"/>
      <c r="O7" s="7"/>
      <c r="P7" s="121"/>
      <c r="Q7" s="7"/>
      <c r="R7" s="7"/>
      <c r="S7" s="8"/>
      <c r="T7" s="8"/>
      <c r="U7" s="8"/>
      <c r="V7" s="8"/>
      <c r="W7" s="8"/>
      <c r="X7" s="6"/>
      <c r="Y7" s="6"/>
    </row>
    <row r="8" spans="1:73" ht="39.75" customHeight="1" x14ac:dyDescent="0.25">
      <c r="A8" s="471" t="s">
        <v>4</v>
      </c>
      <c r="B8" s="471"/>
      <c r="C8" s="471"/>
      <c r="D8" s="471"/>
      <c r="E8" s="75"/>
      <c r="F8" s="488" t="str">
        <f>[4]IdentRiesgo!B3</f>
        <v>Generar datos e información hidrometeorologica y ambiental que apoyen la investigación y el conocimiento como soporte para la toma de decisiones</v>
      </c>
      <c r="G8" s="489"/>
      <c r="H8" s="489"/>
      <c r="I8" s="489"/>
      <c r="J8" s="489"/>
      <c r="K8" s="489"/>
      <c r="L8" s="489"/>
      <c r="M8" s="489"/>
      <c r="N8" s="489"/>
      <c r="O8" s="489"/>
      <c r="P8" s="489"/>
      <c r="Q8" s="489"/>
      <c r="R8" s="489"/>
      <c r="S8" s="489"/>
      <c r="T8" s="489"/>
      <c r="U8" s="489"/>
      <c r="V8" s="489"/>
      <c r="W8" s="490"/>
      <c r="X8" s="9"/>
      <c r="Y8" s="9"/>
    </row>
    <row r="9" spans="1:73" ht="6.75" customHeight="1" x14ac:dyDescent="0.25">
      <c r="B9" s="10"/>
      <c r="C9" s="119"/>
      <c r="D9" s="10"/>
      <c r="E9" s="119"/>
      <c r="F9" s="11"/>
      <c r="G9" s="122"/>
      <c r="H9" s="11"/>
      <c r="I9" s="122"/>
      <c r="J9" s="11"/>
      <c r="K9" s="11"/>
      <c r="L9" s="122"/>
      <c r="M9" s="11"/>
      <c r="N9" s="11"/>
      <c r="O9" s="11"/>
      <c r="P9" s="122"/>
      <c r="Q9" s="11"/>
      <c r="R9" s="11"/>
      <c r="S9" s="8"/>
      <c r="T9" s="8"/>
      <c r="U9" s="8"/>
      <c r="V9" s="8"/>
      <c r="W9" s="8"/>
      <c r="X9" s="6"/>
      <c r="Y9" s="6"/>
    </row>
    <row r="10" spans="1:73" ht="15" x14ac:dyDescent="0.25">
      <c r="A10" s="471" t="s">
        <v>5</v>
      </c>
      <c r="B10" s="471"/>
      <c r="C10" s="471"/>
      <c r="D10" s="471"/>
      <c r="E10" s="75"/>
      <c r="F10" s="472" t="s">
        <v>65</v>
      </c>
      <c r="G10" s="473"/>
      <c r="H10" s="473"/>
      <c r="I10" s="473"/>
      <c r="J10" s="473"/>
      <c r="K10" s="473"/>
      <c r="L10" s="473"/>
      <c r="M10" s="473"/>
      <c r="N10" s="473"/>
      <c r="O10" s="473"/>
      <c r="P10" s="473"/>
      <c r="Q10" s="473"/>
      <c r="R10" s="473"/>
      <c r="S10" s="473"/>
      <c r="T10" s="473"/>
      <c r="U10" s="473"/>
      <c r="V10" s="473"/>
      <c r="W10" s="474"/>
      <c r="X10" s="12"/>
      <c r="Y10" s="12"/>
    </row>
    <row r="11" spans="1:73" ht="5.25" customHeight="1" x14ac:dyDescent="0.25">
      <c r="B11" s="3"/>
      <c r="C11" s="116"/>
      <c r="D11" s="3"/>
      <c r="E11" s="116"/>
      <c r="F11" s="13"/>
      <c r="G11" s="141"/>
      <c r="H11" s="13"/>
      <c r="I11" s="141"/>
      <c r="J11" s="13"/>
      <c r="K11" s="13"/>
      <c r="L11" s="141"/>
      <c r="M11" s="13"/>
      <c r="N11" s="13"/>
      <c r="O11" s="13"/>
      <c r="P11" s="141"/>
      <c r="Q11" s="13"/>
      <c r="R11" s="13"/>
      <c r="S11" s="8"/>
      <c r="T11" s="8"/>
      <c r="U11" s="8"/>
      <c r="V11" s="8"/>
      <c r="W11" s="8"/>
      <c r="X11" s="6"/>
      <c r="Y11" s="6"/>
    </row>
    <row r="12" spans="1:73" ht="15.75" x14ac:dyDescent="0.25">
      <c r="A12" s="471" t="s">
        <v>6</v>
      </c>
      <c r="B12" s="471"/>
      <c r="C12" s="471"/>
      <c r="D12" s="471"/>
      <c r="E12" s="75"/>
      <c r="F12" s="503">
        <f ca="1">NOW()</f>
        <v>43130.660336342589</v>
      </c>
      <c r="G12" s="504"/>
      <c r="H12" s="504"/>
      <c r="I12" s="504"/>
      <c r="J12" s="504"/>
      <c r="K12" s="504"/>
      <c r="L12" s="504"/>
      <c r="M12" s="504"/>
      <c r="N12" s="504"/>
      <c r="O12" s="504"/>
      <c r="P12" s="504"/>
      <c r="Q12" s="504"/>
      <c r="R12" s="504"/>
      <c r="S12" s="504"/>
      <c r="T12" s="504"/>
      <c r="U12" s="504"/>
      <c r="V12" s="504"/>
      <c r="W12" s="504"/>
      <c r="X12" s="504"/>
      <c r="Y12" s="504"/>
      <c r="Z12" s="505"/>
      <c r="AB12" s="2" t="s">
        <v>7</v>
      </c>
    </row>
    <row r="13" spans="1:73" ht="15.75" thickBot="1" x14ac:dyDescent="0.3">
      <c r="B13" s="3"/>
      <c r="C13" s="116"/>
      <c r="D13" s="3"/>
      <c r="E13" s="116"/>
      <c r="F13" s="14"/>
      <c r="G13" s="123"/>
      <c r="H13" s="15"/>
      <c r="I13" s="120"/>
      <c r="J13" s="15"/>
      <c r="K13" s="7"/>
      <c r="L13" s="121"/>
      <c r="M13" s="15"/>
      <c r="N13" s="7"/>
      <c r="O13" s="7"/>
      <c r="P13" s="121"/>
      <c r="Q13" s="7"/>
      <c r="R13" s="7"/>
      <c r="S13" s="7"/>
      <c r="T13" s="15"/>
      <c r="U13" s="7"/>
      <c r="X13" s="6"/>
      <c r="Y13" s="6"/>
      <c r="AB13" s="2" t="s">
        <v>8</v>
      </c>
      <c r="AH13" s="475" t="s">
        <v>9</v>
      </c>
      <c r="AI13" s="475"/>
      <c r="AJ13" s="475"/>
      <c r="AK13" s="475"/>
      <c r="AL13" s="475"/>
      <c r="AM13" s="475"/>
      <c r="AN13" s="475"/>
      <c r="AO13" s="475"/>
      <c r="AP13" s="475"/>
      <c r="AQ13" s="475"/>
      <c r="AR13" s="475"/>
      <c r="AS13" s="475"/>
      <c r="AT13" s="475"/>
      <c r="AU13" s="475"/>
      <c r="AV13" s="475"/>
      <c r="AW13" s="475"/>
      <c r="AX13" s="475"/>
      <c r="AY13" s="475"/>
      <c r="AZ13" s="475"/>
      <c r="BB13" s="475" t="s">
        <v>10</v>
      </c>
      <c r="BC13" s="475"/>
      <c r="BD13" s="475"/>
      <c r="BE13" s="475"/>
      <c r="BF13" s="475"/>
      <c r="BG13" s="475"/>
      <c r="BH13" s="475"/>
      <c r="BI13" s="475"/>
      <c r="BJ13" s="475"/>
      <c r="BK13" s="475"/>
      <c r="BL13" s="475"/>
      <c r="BM13" s="475"/>
      <c r="BN13" s="475"/>
      <c r="BO13" s="475"/>
      <c r="BP13" s="475"/>
      <c r="BQ13" s="475"/>
      <c r="BR13" s="475"/>
      <c r="BS13" s="475"/>
      <c r="BT13" s="475"/>
      <c r="BU13" s="475"/>
    </row>
    <row r="14" spans="1:73" s="17" customFormat="1" ht="15" customHeight="1" x14ac:dyDescent="0.25">
      <c r="A14" s="476" t="s">
        <v>11</v>
      </c>
      <c r="B14" s="477"/>
      <c r="C14" s="477"/>
      <c r="D14" s="478"/>
      <c r="E14" s="76"/>
      <c r="F14" s="479" t="s">
        <v>12</v>
      </c>
      <c r="G14" s="479"/>
      <c r="H14" s="479"/>
      <c r="I14" s="136"/>
      <c r="J14" s="16"/>
      <c r="K14" s="480" t="s">
        <v>13</v>
      </c>
      <c r="L14" s="80"/>
      <c r="M14" s="476" t="s">
        <v>14</v>
      </c>
      <c r="N14" s="477"/>
      <c r="O14" s="478"/>
      <c r="P14" s="268"/>
      <c r="Q14" s="483" t="s">
        <v>15</v>
      </c>
      <c r="R14" s="483"/>
      <c r="S14" s="483"/>
      <c r="T14" s="483" t="s">
        <v>16</v>
      </c>
      <c r="U14" s="483"/>
      <c r="V14" s="483"/>
      <c r="W14" s="483"/>
    </row>
    <row r="15" spans="1:73" s="17" customFormat="1" ht="14.25" customHeight="1" x14ac:dyDescent="0.25">
      <c r="A15" s="481" t="s">
        <v>17</v>
      </c>
      <c r="B15" s="481" t="s">
        <v>18</v>
      </c>
      <c r="C15" s="269"/>
      <c r="D15" s="481" t="s">
        <v>19</v>
      </c>
      <c r="E15" s="269"/>
      <c r="F15" s="461" t="s">
        <v>20</v>
      </c>
      <c r="G15" s="461"/>
      <c r="H15" s="461"/>
      <c r="I15" s="272"/>
      <c r="J15" s="44"/>
      <c r="K15" s="481"/>
      <c r="L15" s="79"/>
      <c r="M15" s="466" t="s">
        <v>21</v>
      </c>
      <c r="N15" s="467"/>
      <c r="O15" s="468"/>
      <c r="P15" s="273"/>
      <c r="Q15" s="466" t="s">
        <v>22</v>
      </c>
      <c r="R15" s="467"/>
      <c r="S15" s="468"/>
      <c r="T15" s="461" t="s">
        <v>23</v>
      </c>
      <c r="U15" s="461" t="s">
        <v>24</v>
      </c>
      <c r="V15" s="461" t="s">
        <v>5</v>
      </c>
      <c r="W15" s="461" t="s">
        <v>25</v>
      </c>
    </row>
    <row r="16" spans="1:73" s="17" customFormat="1" ht="63" customHeight="1" x14ac:dyDescent="0.25">
      <c r="A16" s="484"/>
      <c r="B16" s="484"/>
      <c r="C16" s="271" t="s">
        <v>77</v>
      </c>
      <c r="D16" s="484"/>
      <c r="E16" s="271" t="s">
        <v>78</v>
      </c>
      <c r="F16" s="44" t="s">
        <v>26</v>
      </c>
      <c r="G16" s="272" t="s">
        <v>77</v>
      </c>
      <c r="H16" s="44" t="s">
        <v>10</v>
      </c>
      <c r="I16" s="272" t="s">
        <v>77</v>
      </c>
      <c r="J16" s="44" t="s">
        <v>27</v>
      </c>
      <c r="K16" s="482"/>
      <c r="L16" s="270" t="s">
        <v>79</v>
      </c>
      <c r="M16" s="19" t="s">
        <v>26</v>
      </c>
      <c r="N16" s="19" t="s">
        <v>10</v>
      </c>
      <c r="O16" s="45" t="s">
        <v>27</v>
      </c>
      <c r="P16" s="271" t="s">
        <v>81</v>
      </c>
      <c r="Q16" s="44" t="s">
        <v>28</v>
      </c>
      <c r="R16" s="44" t="s">
        <v>24</v>
      </c>
      <c r="S16" s="44" t="s">
        <v>29</v>
      </c>
      <c r="T16" s="461"/>
      <c r="U16" s="461"/>
      <c r="V16" s="461"/>
      <c r="W16" s="461"/>
    </row>
    <row r="17" spans="1:71" ht="292.5" customHeight="1" x14ac:dyDescent="0.25">
      <c r="A17" s="359" t="s">
        <v>215</v>
      </c>
      <c r="B17" s="166" t="s">
        <v>214</v>
      </c>
      <c r="C17" s="359" t="s">
        <v>213</v>
      </c>
      <c r="D17" s="359" t="s">
        <v>212</v>
      </c>
      <c r="E17" s="354" t="s">
        <v>211</v>
      </c>
      <c r="F17" s="355">
        <v>2</v>
      </c>
      <c r="G17" s="355" t="s">
        <v>96</v>
      </c>
      <c r="H17" s="356">
        <v>5</v>
      </c>
      <c r="I17" s="356" t="s">
        <v>87</v>
      </c>
      <c r="J17" s="157" t="s">
        <v>40</v>
      </c>
      <c r="K17" s="165" t="s">
        <v>66</v>
      </c>
      <c r="L17" s="506" t="s">
        <v>26</v>
      </c>
      <c r="M17" s="507"/>
      <c r="N17" s="25"/>
      <c r="O17" s="357" t="s">
        <v>40</v>
      </c>
      <c r="P17" s="349" t="s">
        <v>104</v>
      </c>
      <c r="Q17" s="358" t="s">
        <v>67</v>
      </c>
      <c r="R17" s="164" t="s">
        <v>68</v>
      </c>
      <c r="S17" s="153" t="s">
        <v>69</v>
      </c>
      <c r="T17" s="360"/>
      <c r="U17" s="362"/>
      <c r="V17" s="361" t="s">
        <v>248</v>
      </c>
      <c r="W17" s="247"/>
      <c r="X17" s="115"/>
      <c r="Y17" s="125" t="str">
        <f>IF(AND(F17=1,H17=5),$H$24,IF(AND(F17=1,H17=10),$J$24,IF(AND(F17=1,H17=20),$K$24," ")))</f>
        <v xml:space="preserve"> </v>
      </c>
      <c r="Z17" s="125" t="str">
        <f>IF(AND(F17=2,H17=5),$H$25,IF(AND(F17=2,H17=10),$J$25,IF(AND(F17=2,H17=20),$K$25," ")))</f>
        <v>B</v>
      </c>
      <c r="AA17" s="125" t="str">
        <f>IF(AND(F17=3,H17=5),$H$26,IF(AND(F17=3,H17=10),$J$26,IF(AND(F17=3,H17=20),$K$26," ")))</f>
        <v xml:space="preserve"> </v>
      </c>
      <c r="AB17" s="125" t="str">
        <f>IF(AND(F17=4,H17=5),$H$27,IF(AND(F17=4,H17=10),$J$27,IF(AND(F17=4,H17=20),$K$27," ")))</f>
        <v xml:space="preserve"> </v>
      </c>
      <c r="AC17" s="125" t="str">
        <f>IF(AND(F17=5,H17=5),$H$28,IF(AND(F17=5,H17=10),$J$28,IF(AND(F17=5,H17=20),$K$28," ")))</f>
        <v xml:space="preserve"> </v>
      </c>
      <c r="AD17" s="115"/>
      <c r="AE17" s="115"/>
      <c r="AF17" s="125" t="str">
        <f>IF(AND(M17&gt;0,[4]EvaluaciónRiesgoCorrup!$F$11&gt;75,F17=1,H17=5),$H$24,IF(AND(M17&gt;0,[4]EvaluaciónRiesgoCorrup!$F$11&gt;75,F17=1,H17=10),$J$24,IF(AND(M17&gt;0,[4]EvaluaciónRiesgoCorrup!$F$11&gt;75,F17=1,H17=20),$K$24," ")))</f>
        <v xml:space="preserve"> </v>
      </c>
      <c r="AG17" s="125" t="str">
        <f>IF(AND(M17&gt;0,[4]EvaluaciónRiesgoCorrup!$F$11&gt;75,F17=2,H17=5),$H$24,IF(AND(M17&gt;0,[4]EvaluaciónRiesgoCorrup!$F$11&gt;75,F17=2,H17=10),$J$24,IF(AND(M17&gt;0,[4]EvaluaciónRiesgoCorrup!$F$11&gt;75,F17=2,H17=20),$K$24," ")))</f>
        <v xml:space="preserve"> </v>
      </c>
      <c r="AH17" s="125" t="str">
        <f>IF(AND(M17&gt;0,[4]EvaluaciónRiesgoCorrup!$F$11&gt;75,F17=3,H17=5),$H$24,IF(AND(M17&gt;0,[4]EvaluaciónRiesgoCorrup!$F$11&gt;75,F17=3,H17=10),$J$24,IF(AND(M17&gt;0,[4]EvaluaciónRiesgoCorrup!$F$11&gt;75,F17=3,H17=20),$K$24," ")))</f>
        <v xml:space="preserve"> </v>
      </c>
      <c r="AI17" s="125" t="str">
        <f>IF(AND(M17&gt;0,[4]EvaluaciónRiesgoCorrup!$F$11&gt;75,F17=4,H17=5),$H$25,IF(AND(M17&gt;0,[4]EvaluaciónRiesgoCorrup!$F$11&gt;75,F17=4,H17=10),$J$25,IF(AND(M17&gt;0,[4]EvaluaciónRiesgoCorrup!$F$11&gt;75,F17=4,H17=20),$K$25," ")))</f>
        <v xml:space="preserve"> </v>
      </c>
      <c r="AJ17" s="125" t="str">
        <f>IF(AND(M17&gt;0,[4]EvaluaciónRiesgoCorrup!$F$11&gt;75,F17=5,H17=5),$H$26,IF(AND(M17&gt;0,[4]EvaluaciónRiesgoCorrup!$F$11&gt;75,F17=5,H17=10),$J$26,IF(AND(M17&gt;0,[4]EvaluaciónRiesgoCorrup!$F$11&gt;75,F17=5,H17=20),$K$26," ")))</f>
        <v xml:space="preserve"> </v>
      </c>
      <c r="AK17" s="115"/>
      <c r="AL17" s="125" t="str">
        <f>IF(AND(M17&gt;0,[4]EvaluaciónRiesgoCorrup!$F$11&gt;50,[4]EvaluaciónRiesgoCorrup!$F$11&lt;76,F17=1,H17=5),$H$24,IF(AND(M17&gt;0,[4]EvaluaciónRiesgoCorrup!$F$11&gt;50,[4]EvaluaciónRiesgoCorrup!$F$11&lt;76,F17=1,H17=10),$J$24,IF(AND(M17&gt;0,[4]EvaluaciónRiesgoCorrup!$F$11&gt;50,[4]EvaluaciónRiesgoCorrup!$F$11&lt;76,F17=1,H17=20),$K$24," ")))</f>
        <v xml:space="preserve"> </v>
      </c>
      <c r="AM17" s="125" t="str">
        <f>IF(AND(M17&gt;0,[4]EvaluaciónRiesgoCorrup!$F$11&gt;50,[4]EvaluaciónRiesgoCorrup!$F$11&lt;76,F17=2,H17=5),$H$24,IF(AND(M17&gt;0,[4]EvaluaciónRiesgoCorrup!$F$11&gt;50,[4]EvaluaciónRiesgoCorrup!$F$11&lt;76,F17=2,H17=10),$J$24,IF(AND(M17&gt;0,[4]EvaluaciónRiesgoCorrup!$F$11&gt;50,[4]EvaluaciónRiesgoCorrup!$F$11&lt;76,F17=2,H17=20),$K$24," ")))</f>
        <v xml:space="preserve"> </v>
      </c>
      <c r="AN17" s="125" t="str">
        <f>IF(AND(M17&gt;0,[4]EvaluaciónRiesgoCorrup!$F$11&gt;50,[4]EvaluaciónRiesgoCorrup!$F$11&lt;76,F17=3,H17=5),$H$25,IF(AND(M17&gt;0,[4]EvaluaciónRiesgoCorrup!$F$11&gt;50,[4]EvaluaciónRiesgoCorrup!$F$11&lt;76,F17=3,H17=10),$J$25,IF(AND(M17&gt;0,[4]EvaluaciónRiesgoCorrup!$F$11&gt;50,[4]EvaluaciónRiesgoCorrup!$F$11&lt;76,F17=3,H17=20),$K$25," ")))</f>
        <v xml:space="preserve"> </v>
      </c>
      <c r="AO17" s="125" t="str">
        <f>IF(AND(M17&gt;0,[4]EvaluaciónRiesgoCorrup!$F$11&gt;50,[4]EvaluaciónRiesgoCorrup!$F$11&lt;76,F17=4,H17=5),$H$26,IF(AND(M17&gt;0,[4]EvaluaciónRiesgoCorrup!$F$11&gt;50,[4]EvaluaciónRiesgoCorrup!$F$11&lt;76,F17=4,H17=10),$J$26,IF(AND(M17&gt;0,[4]EvaluaciónRiesgoCorrup!$F$11&gt;50,[4]EvaluaciónRiesgoCorrup!$F$11&lt;76,F17=4,H17=20),$K$26," ")))</f>
        <v xml:space="preserve"> </v>
      </c>
      <c r="AP17" s="125" t="str">
        <f>IF(AND(M17&gt;0,[4]EvaluaciónRiesgoCorrup!$F$11&gt;50,[4]EvaluaciónRiesgoCorrup!$F$11&lt;76,F17=5,H17=5),$H$27,IF(AND(M17&gt;0,[4]EvaluaciónRiesgoCorrup!$F$11&gt;50,[4]EvaluaciónRiesgoCorrup!$F$11&lt;76,F17=5,H17=10),$J$27,IF(AND(M17&gt;0,[4]EvaluaciónRiesgoCorrup!$F$11&gt;50,[4]EvaluaciónRiesgoCorrup!$F$11&lt;76,F17=5,H17=20),$K$27," ")))</f>
        <v xml:space="preserve"> </v>
      </c>
      <c r="AQ17" s="115"/>
      <c r="AR17" s="115"/>
      <c r="AS17" s="125" t="str">
        <f>IF(AND(M17&gt;0,[4]EvaluaciónRiesgoCorrup!$F$11&lt;51,F17=1,H17=5),$H$24,IF(AND(M17&gt;0,[4]EvaluaciónRiesgoCorrup!$F$11&lt;51,F17=1,H17=10),$J$24,IF(AND(M17&gt;0,[4]EvaluaciónRiesgoCorrup!$F$11&lt;51,F17=1,H17=20),K$24," ")))</f>
        <v xml:space="preserve"> </v>
      </c>
      <c r="AT17" s="125" t="str">
        <f>IF(AND(M17&gt;0,[4]EvaluaciónRiesgoCorrup!$F$11&lt;51,F17=2,H17=5),$H$25,IF(AND(M17&gt;0,[4]EvaluaciónRiesgoCorrup!$F$11&lt;51,F17=2,H17=10),$J$25,IF(AND(M17&gt;0,[4]EvaluaciónRiesgoCorrup!$F$11&lt;51,F17=2,H17=20),K$25," ")))</f>
        <v xml:space="preserve"> </v>
      </c>
      <c r="AU17" s="125" t="str">
        <f>IF(AND(M17&gt;0,[4]EvaluaciónRiesgoCorrup!$F$11&lt;51,F17=3,H17=5),$H$26,IF(AND(M17&gt;0,[4]EvaluaciónRiesgoCorrup!$F$11&lt;51,F17=3,H17=10),$J$26,IF(AND(M17&gt;0,[4]EvaluaciónRiesgoCorrup!$F$11&lt;51,F17=3,H17=20),K$26," ")))</f>
        <v xml:space="preserve"> </v>
      </c>
      <c r="AV17" s="125" t="str">
        <f>IF(AND(M17&gt;0,[4]EvaluaciónRiesgoCorrup!$F$11&lt;51,F17=4,H17=5),$H$27,IF(AND(M17&gt;0,[4]EvaluaciónRiesgoCorrup!$F$11&lt;51,F17=4,H17=10),$J$27,IF(AND(M17&gt;0,[4]EvaluaciónRiesgoCorrup!$F$11&lt;51,F17=4,H17=20),K$27," ")))</f>
        <v xml:space="preserve"> </v>
      </c>
      <c r="AW17" s="125" t="str">
        <f>IF(AND(M17&gt;0,[4]EvaluaciónRiesgoCorrup!$F$11&lt;51,F17=5,H17=5),$H$28,IF(AND(M17&gt;0,[4]EvaluaciónRiesgoCorrup!$F$11&lt;51,F17=5,H17=10),$J$28,IF(AND(M17&gt;0,[4]EvaluaciónRiesgoCorrup!$F$11&lt;51,F17=5,H17=20),K$28," ")))</f>
        <v xml:space="preserve"> </v>
      </c>
      <c r="AX17" s="115"/>
      <c r="AY17" s="115"/>
      <c r="AZ17" s="115"/>
      <c r="BA17" s="125" t="str">
        <f>IF(AND(N17&gt;0,[4]EvaluaciónRiesgoCorrup!$F$11&gt;75,F17=1,H17=5),$H$24,IF(AND(N17&gt;0,[4]EvaluaciónRiesgoCorrup!$F$11&gt;75,F17=1,H17=10),$H$24,IF(AND(N17&gt;0,[4]EvaluaciónRiesgoCorrup!$F$11&gt;75,F17=1,H17=20),$H$24," ")))</f>
        <v xml:space="preserve"> </v>
      </c>
      <c r="BB17" s="125" t="str">
        <f>IF(AND(N17&gt;0,[4]EvaluaciónRiesgoCorrup!$F$11&gt;75,F17=2,H17=5),$H$25,IF(AND(N17&gt;0,[4]EvaluaciónRiesgoCorrup!$F$11&gt;75,F17=2,H17=10),$H$25,IF(AND(N17&gt;0,[4]EvaluaciónRiesgoCorrup!$F$11&gt;75,F17=2,H17=20),$H$25," ")))</f>
        <v xml:space="preserve"> </v>
      </c>
      <c r="BC17" s="125" t="str">
        <f>IF(AND(N17&gt;0,[4]EvaluaciónRiesgoCorrup!$F$11&gt;75,F17=3,H17=5),$H$26,IF(AND(N17&gt;0,[4]EvaluaciónRiesgoCorrup!$F$11&gt;75,F17=3,H17=10),$H$26,IF(AND(N17&gt;0,[4]EvaluaciónRiesgoCorrup!$F$11&gt;75,F17=3,H17=20),$H$26," ")))</f>
        <v xml:space="preserve"> </v>
      </c>
      <c r="BD17" s="125" t="str">
        <f>IF(AND(N17&gt;0,[4]EvaluaciónRiesgoCorrup!$F$11&gt;75,F17=4,H17=5),$H$27,IF(AND(N17&gt;0,[4]EvaluaciónRiesgoCorrup!$F$11&gt;75,F17=4,H17=10),$H$27,IF(AND(N17&gt;0,[4]EvaluaciónRiesgoCorrup!$F$11&gt;75,F17=4,H17=20),$H$27," ")))</f>
        <v xml:space="preserve"> </v>
      </c>
      <c r="BE17" s="125" t="str">
        <f>IF(AND(N17&gt;0,[4]EvaluaciónRiesgoCorrup!$F$11&gt;75,F17=5,H17=5),$H$28,IF(AND(N17&gt;0,[4]EvaluaciónRiesgoCorrup!$F$11&gt;75,F17=5,H17=10),$H$28,IF(AND(N17&gt;0,[4]EvaluaciónRiesgoCorrup!$F$11&gt;75,F17=5,H17=20),$H$28," ")))</f>
        <v xml:space="preserve"> </v>
      </c>
      <c r="BF17" s="115"/>
      <c r="BG17" s="115"/>
      <c r="BH17" s="125" t="str">
        <f>IF(AND(N17&gt;0,[4]EvaluaciónRiesgoCorrup!$F$11&gt;50,[4]EvaluaciónRiesgoCorrup!$F$11&lt;76,F17=1,H17=5),$H$24,IF(AND(N17&gt;0,[4]EvaluaciónRiesgoCorrup!$F$11&gt;50,[4]EvaluaciónRiesgoCorrup!$F$11&lt;76,F17=1,H17=10),$H$24,IF(AND(N17&gt;0,[4]EvaluaciónRiesgoCorrup!$F$11&gt;50,[4]EvaluaciónRiesgoCorrup!$F$11&lt;76,F17=1,H17=20),$J$24," ")))</f>
        <v xml:space="preserve"> </v>
      </c>
      <c r="BI17" s="125" t="str">
        <f>IF(AND(N17&gt;0,[4]EvaluaciónRiesgoCorrup!$F$11&gt;50,[4]EvaluaciónRiesgoCorrup!$F$11&lt;76,F17=2,H17=5),$H$25,IF(AND(N17&gt;0,[4]EvaluaciónRiesgoCorrup!$F$11&gt;50,[4]EvaluaciónRiesgoCorrup!$F$11&lt;76,F17=2,H17=10),$H$25,IF(AND(N17&gt;0,[4]EvaluaciónRiesgoCorrup!$F$11&gt;50,[4]EvaluaciónRiesgoCorrup!$F$11&lt;76,F17=2,H17=20),$J$25," ")))</f>
        <v xml:space="preserve"> </v>
      </c>
      <c r="BJ17" s="125" t="str">
        <f>IF(AND(N17&gt;0,[4]EvaluaciónRiesgoCorrup!$F$11&gt;50,[4]EvaluaciónRiesgoCorrup!$F$11&lt;76,F17=3,H17=5),$H$26,IF(AND(N17&gt;0,[4]EvaluaciónRiesgoCorrup!$F$11&gt;50,[4]EvaluaciónRiesgoCorrup!$F$11&lt;76,F17=3,H17=10),$H$26,IF(AND(N17&gt;0,[4]EvaluaciónRiesgoCorrup!$F$11&gt;50,[4]EvaluaciónRiesgoCorrup!$F$11&lt;76,F17=3,H17=20),$J$26," ")))</f>
        <v xml:space="preserve"> </v>
      </c>
      <c r="BK17" s="125" t="str">
        <f>IF(AND(N17&gt;0,[4]EvaluaciónRiesgoCorrup!$F$11&gt;50,[4]EvaluaciónRiesgoCorrup!$F$11&lt;76,F17=4,H17=5),$H$27,IF(AND(N17&gt;0,[4]EvaluaciónRiesgoCorrup!$F$11&gt;50,[4]EvaluaciónRiesgoCorrup!$F$11&lt;76,F17=4,H17=10),$H$27,IF(AND(N17&gt;0,[4]EvaluaciónRiesgoCorrup!$F$11&gt;50,[4]EvaluaciónRiesgoCorrup!$F$11&lt;76,F17=4,H17=20),$J$27," ")))</f>
        <v xml:space="preserve"> </v>
      </c>
      <c r="BL17" s="125" t="str">
        <f>IF(AND(N17&gt;0,[4]EvaluaciónRiesgoCorrup!$F$11&gt;50,[4]EvaluaciónRiesgoCorrup!$F$11&lt;76,F17=5,H17=5),$H$28,IF(AND(N17&gt;0,[4]EvaluaciónRiesgoCorrup!$F$11&gt;50,[4]EvaluaciónRiesgoCorrup!$F$11&lt;76,F17=5,H17=10),$H$28,IF(AND(N17&gt;0,[4]EvaluaciónRiesgoCorrup!$F$11&gt;50,[4]EvaluaciónRiesgoCorrup!$F$11&lt;76,F17=5,H17=20),$J$28," ")))</f>
        <v xml:space="preserve"> </v>
      </c>
      <c r="BM17" s="115"/>
      <c r="BN17" s="115"/>
      <c r="BO17" s="125" t="str">
        <f>IF(AND(N17&gt;0,[4]EvaluaciónRiesgoCorrup!$F$11&lt;51,F17=1,H17=5),$H$24,IF(AND(N17&gt;0,[4]EvaluaciónRiesgoCorrup!$F$11&lt;51,F17=1,H17=10),$J$24,IF(AND(N17&gt;0,[4]EvaluaciónRiesgoCorrup!$F$11&lt;51,F17=1,H17=20),$K$24," ")))</f>
        <v xml:space="preserve"> </v>
      </c>
      <c r="BP17" s="125" t="str">
        <f>IF(AND(N17&gt;0,[4]EvaluaciónRiesgoCorrup!$F$11&lt;51,F17=2,H17=5),$H$25,IF(AND(N17&gt;0,[4]EvaluaciónRiesgoCorrup!$F$11&lt;51,F17=2,H17=10),$J$25,IF(AND(N17&gt;0,[4]EvaluaciónRiesgoCorrup!$F$11&lt;51,F17=2,H17=20),$K$25," ")))</f>
        <v xml:space="preserve"> </v>
      </c>
      <c r="BQ17" s="26" t="str">
        <f>IF(AND(N17&gt;0,[4]EvaluaciónRiesgoCorrup!$F$11&lt;51,F17=3,H17=5),$H$26,IF(AND(N17&gt;0,[4]EvaluaciónRiesgoCorrup!$F$11&lt;51,F17=3,H17=10),$J$26,IF(AND(N17&gt;0,[4]EvaluaciónRiesgoCorrup!$F$11&lt;51,F17=3,H17=20),$K$26," ")))</f>
        <v xml:space="preserve"> </v>
      </c>
      <c r="BR17" s="26" t="str">
        <f>IF(AND(N17&gt;0,[4]EvaluaciónRiesgoCorrup!$F$11&lt;51,F17=4,H17=5),$H$27,IF(AND(N17&gt;0,[4]EvaluaciónRiesgoCorrup!$F$11&lt;51,F17=4,H17=10),$J$27,IF(AND(N17&gt;0,[4]EvaluaciónRiesgoCorrup!$F$11&lt;51,F17=4,H17=20),$K$27," ")))</f>
        <v xml:space="preserve"> </v>
      </c>
      <c r="BS17" s="26" t="str">
        <f>IF(AND(N17&gt;0,[4]EvaluaciónRiesgoCorrup!$F$11&lt;51,F17=5,H17=5),$H$28,IF(AND(N17&gt;0,[4]EvaluaciónRiesgoCorrup!$F$11&lt;51,F17=5,H17=10),$J$28,IF(AND(N17&gt;0,[4]EvaluaciónRiesgoCorrup!$F$11&lt;51,F17=5,H17=20),$K$28," ")))</f>
        <v xml:space="preserve"> </v>
      </c>
    </row>
    <row r="18" spans="1:71" ht="198.75" customHeight="1" x14ac:dyDescent="0.25">
      <c r="A18" s="359"/>
      <c r="B18" s="166"/>
      <c r="C18" s="359"/>
      <c r="D18" s="359"/>
      <c r="E18" s="354"/>
      <c r="F18" s="355"/>
      <c r="G18" s="355"/>
      <c r="H18" s="356"/>
      <c r="I18" s="356"/>
      <c r="J18" s="157"/>
      <c r="K18" s="165"/>
      <c r="L18" s="506"/>
      <c r="M18" s="507"/>
      <c r="N18" s="25"/>
      <c r="O18" s="357"/>
      <c r="P18" s="349"/>
      <c r="Q18" s="358"/>
      <c r="R18" s="164"/>
      <c r="S18" s="153"/>
      <c r="T18" s="360"/>
      <c r="U18" s="362"/>
      <c r="V18" s="361"/>
      <c r="W18" s="247"/>
      <c r="Y18" s="26" t="str">
        <f>IF(AND(F18=1,H18=5),$H$24,IF(AND(F18=1,H18=10),$J$24,IF(AND(F18=1,H18=20),$K$24," ")))</f>
        <v xml:space="preserve"> </v>
      </c>
      <c r="Z18" s="26" t="str">
        <f>IF(AND(F18=2,H18=5),$H$25,IF(AND(F18=2,H18=10),$J$25,IF(AND(F18=2,H18=20),$K$25," ")))</f>
        <v xml:space="preserve"> </v>
      </c>
      <c r="AA18" s="26" t="str">
        <f>IF(AND(F18=3,H18=5),$H$26,IF(AND(F18=3,H18=10),$J$26,IF(AND(F18=3,H18=20),$K$26," ")))</f>
        <v xml:space="preserve"> </v>
      </c>
      <c r="AB18" s="26" t="str">
        <f>IF(AND(F18=4,H18=5),$H$27,IF(AND(F18=4,H18=10),$J$27,IF(AND(F18=4,H18=20),$K$27," ")))</f>
        <v xml:space="preserve"> </v>
      </c>
      <c r="AC18" s="26" t="str">
        <f>IF(AND(F18=5,H18=5),$H$28,IF(AND(F18=5,H18=10),$J$28,IF(AND(F18=5,H18=20),$K$28," ")))</f>
        <v xml:space="preserve"> </v>
      </c>
      <c r="AF18" s="26" t="str">
        <f>IF(AND(M18&gt;0,[4]EvaluaciónRiesgoCorrup!$F$11&gt;75,F18=1,H18=5),$H$24,IF(AND(M18&gt;0,[4]EvaluaciónRiesgoCorrup!$F$11&gt;75,F18=1,H18=10),$J$24,IF(AND(M18&gt;0,[4]EvaluaciónRiesgoCorrup!$F$11&gt;75,F18=1,H18=20),$K$24," ")))</f>
        <v xml:space="preserve"> </v>
      </c>
      <c r="AG18" s="26" t="str">
        <f>IF(AND(M18&gt;0,[4]EvaluaciónRiesgoCorrup!$F$11&gt;75,F18=2,H18=5),$H$24,IF(AND(M18&gt;0,[4]EvaluaciónRiesgoCorrup!$F$11&gt;75,F18=2,H18=10),$J$24,IF(AND(M18&gt;0,[4]EvaluaciónRiesgoCorrup!$F$11&gt;75,F18=2,H18=20),$K$24," ")))</f>
        <v xml:space="preserve"> </v>
      </c>
      <c r="AH18" s="26" t="str">
        <f>IF(AND(M18&gt;0,[4]EvaluaciónRiesgoCorrup!$F$11&gt;75,F18=3,H18=5),$H$24,IF(AND(M18&gt;0,[4]EvaluaciónRiesgoCorrup!$F$11&gt;75,F18=3,H18=10),$J$24,IF(AND(M18&gt;0,[4]EvaluaciónRiesgoCorrup!$F$11&gt;75,F18=3,H18=20),$K$24," ")))</f>
        <v xml:space="preserve"> </v>
      </c>
      <c r="AI18" s="26" t="str">
        <f>IF(AND(M18&gt;0,[4]EvaluaciónRiesgoCorrup!$F$11&gt;75,F18=4,H18=5),$H$25,IF(AND(M18&gt;0,[4]EvaluaciónRiesgoCorrup!$F$11&gt;75,F18=4,H18=10),$J$25,IF(AND(M18&gt;0,[4]EvaluaciónRiesgoCorrup!$F$11&gt;75,F18=4,H18=20),$K$25," ")))</f>
        <v xml:space="preserve"> </v>
      </c>
      <c r="AJ18" s="26" t="str">
        <f>IF(AND(M18&gt;0,[4]EvaluaciónRiesgoCorrup!$F$11&gt;75,F18=5,H18=5),$H$26,IF(AND(M18&gt;0,[4]EvaluaciónRiesgoCorrup!$F$11&gt;75,F18=5,H18=10),$J$26,IF(AND(M18&gt;0,[4]EvaluaciónRiesgoCorrup!$F$11&gt;75,F18=5,H18=20),$K$26," ")))</f>
        <v xml:space="preserve"> </v>
      </c>
      <c r="AL18" s="26" t="str">
        <f>IF(AND(M18&gt;0,[4]EvaluaciónRiesgoCorrup!$F$11&gt;50,[4]EvaluaciónRiesgoCorrup!$F$11&lt;76,F18=1,H18=5),$H$24,IF(AND(M18&gt;0,[4]EvaluaciónRiesgoCorrup!$F$11&gt;50,[4]EvaluaciónRiesgoCorrup!$F$11&lt;76,F18=1,H18=10),$J$24,IF(AND(M18&gt;0,[4]EvaluaciónRiesgoCorrup!$F$11&gt;50,[4]EvaluaciónRiesgoCorrup!$F$11&lt;76,F18=1,H18=20),$K$24," ")))</f>
        <v xml:space="preserve"> </v>
      </c>
      <c r="AM18" s="26" t="str">
        <f>IF(AND(M18&gt;0,[4]EvaluaciónRiesgoCorrup!$F$11&gt;50,[4]EvaluaciónRiesgoCorrup!$F$11&lt;76,F18=2,H18=5),$H$24,IF(AND(M18&gt;0,[4]EvaluaciónRiesgoCorrup!$F$11&gt;50,[4]EvaluaciónRiesgoCorrup!$F$11&lt;76,F18=2,H18=10),$J$24,IF(AND(M18&gt;0,[4]EvaluaciónRiesgoCorrup!$F$11&gt;50,[4]EvaluaciónRiesgoCorrup!$F$11&lt;76,F18=2,H18=20),$K$24," ")))</f>
        <v xml:space="preserve"> </v>
      </c>
      <c r="AN18" s="26" t="str">
        <f>IF(AND(M18&gt;0,[4]EvaluaciónRiesgoCorrup!$F$11&gt;50,[4]EvaluaciónRiesgoCorrup!$F$11&lt;76,F18=3,H18=5),$H$25,IF(AND(M18&gt;0,[4]EvaluaciónRiesgoCorrup!$F$11&gt;50,[4]EvaluaciónRiesgoCorrup!$F$11&lt;76,F18=3,H18=10),$J$25,IF(AND(M18&gt;0,[4]EvaluaciónRiesgoCorrup!$F$11&gt;50,[4]EvaluaciónRiesgoCorrup!$F$11&lt;76,F18=3,H18=20),$K$25," ")))</f>
        <v xml:space="preserve"> </v>
      </c>
      <c r="AO18" s="26" t="str">
        <f>IF(AND(M18&gt;0,[4]EvaluaciónRiesgoCorrup!$F$11&gt;50,[4]EvaluaciónRiesgoCorrup!$F$11&lt;76,F18=4,H18=5),$H$26,IF(AND(M18&gt;0,[4]EvaluaciónRiesgoCorrup!$F$11&gt;50,[4]EvaluaciónRiesgoCorrup!$F$11&lt;76,F18=4,H18=10),$J$26,IF(AND(M18&gt;0,[4]EvaluaciónRiesgoCorrup!$F$11&gt;50,[4]EvaluaciónRiesgoCorrup!$F$11&lt;76,F18=4,H18=20),$K$26," ")))</f>
        <v xml:space="preserve"> </v>
      </c>
      <c r="AP18" s="26" t="str">
        <f>IF(AND(M18&gt;0,[4]EvaluaciónRiesgoCorrup!$F$11&gt;50,[4]EvaluaciónRiesgoCorrup!$F$11&lt;76,F18=5,H18=5),$H$27,IF(AND(M18&gt;0,[4]EvaluaciónRiesgoCorrup!$F$11&gt;50,[4]EvaluaciónRiesgoCorrup!$F$11&lt;76,F18=5,H18=10),$J$27,IF(AND(M18&gt;0,[4]EvaluaciónRiesgoCorrup!$F$11&gt;50,[4]EvaluaciónRiesgoCorrup!$F$11&lt;76,F18=5,H18=20),$K$27," ")))</f>
        <v xml:space="preserve"> </v>
      </c>
      <c r="AS18" s="26" t="str">
        <f>IF(AND(M18&gt;0,[4]EvaluaciónRiesgoCorrup!$F$11&lt;51,F18=1,H18=5),$H$24,IF(AND(M18&gt;0,[4]EvaluaciónRiesgoCorrup!$F$11&lt;51,F18=1,H18=10),$J$24,IF(AND(M18&gt;0,[4]EvaluaciónRiesgoCorrup!$F$11&lt;51,F18=1,H18=20),K$24," ")))</f>
        <v xml:space="preserve"> </v>
      </c>
      <c r="AT18" s="26" t="str">
        <f>IF(AND(M18&gt;0,[4]EvaluaciónRiesgoCorrup!$F$11&lt;51,F18=2,H18=5),$H$25,IF(AND(M18&gt;0,[4]EvaluaciónRiesgoCorrup!$F$11&lt;51,F18=2,H18=10),$J$25,IF(AND(M18&gt;0,[4]EvaluaciónRiesgoCorrup!$F$11&lt;51,F18=2,H18=20),K$25," ")))</f>
        <v xml:space="preserve"> </v>
      </c>
      <c r="AU18" s="26" t="str">
        <f>IF(AND(M18&gt;0,[4]EvaluaciónRiesgoCorrup!$F$11&lt;51,F18=3,H18=5),$H$26,IF(AND(M18&gt;0,[4]EvaluaciónRiesgoCorrup!$F$11&lt;51,F18=3,H18=10),$J$26,IF(AND(M18&gt;0,[4]EvaluaciónRiesgoCorrup!$F$11&lt;51,F18=3,H18=20),K$26," ")))</f>
        <v xml:space="preserve"> </v>
      </c>
      <c r="AV18" s="26" t="str">
        <f>IF(AND(M18&gt;0,[4]EvaluaciónRiesgoCorrup!$F$11&lt;51,F18=4,H18=5),$H$27,IF(AND(M18&gt;0,[4]EvaluaciónRiesgoCorrup!$F$11&lt;51,F18=4,H18=10),$J$27,IF(AND(M18&gt;0,[4]EvaluaciónRiesgoCorrup!$F$11&lt;51,F18=4,H18=20),K$27," ")))</f>
        <v xml:space="preserve"> </v>
      </c>
      <c r="AW18" s="26" t="str">
        <f>IF(AND(M18&gt;0,[4]EvaluaciónRiesgoCorrup!$F$11&lt;51,F18=5,H18=5),$H$28,IF(AND(M18&gt;0,[4]EvaluaciónRiesgoCorrup!$F$11&lt;51,F18=5,H18=10),$J$28,IF(AND(M18&gt;0,[4]EvaluaciónRiesgoCorrup!$F$11&lt;51,F18=5,H18=20),K$28," ")))</f>
        <v xml:space="preserve"> </v>
      </c>
      <c r="BA18" s="26" t="str">
        <f>IF(AND(N18&gt;0,[4]EvaluaciónRiesgoCorrup!$F$11&gt;75,F18=1,H18=5),$H$24,IF(AND(N18&gt;0,[4]EvaluaciónRiesgoCorrup!$F$11&gt;75,F18=1,H18=10),$H$24,IF(AND(N18&gt;0,[4]EvaluaciónRiesgoCorrup!$F$11&gt;75,F18=1,H18=20),$H$24," ")))</f>
        <v xml:space="preserve"> </v>
      </c>
      <c r="BB18" s="26" t="str">
        <f>IF(AND(N18&gt;0,[4]EvaluaciónRiesgoCorrup!$F$11&gt;75,F18=2,H18=5),$H$25,IF(AND(N18&gt;0,[4]EvaluaciónRiesgoCorrup!$F$11&gt;75,F18=2,H18=10),$H$25,IF(AND(N18&gt;0,[4]EvaluaciónRiesgoCorrup!$F$11&gt;75,F18=2,H18=20),$H$25," ")))</f>
        <v xml:space="preserve"> </v>
      </c>
      <c r="BC18" s="26" t="str">
        <f>IF(AND(N18&gt;0,[4]EvaluaciónRiesgoCorrup!$F$11&gt;75,F18=3,H18=5),$H$26,IF(AND(N18&gt;0,[4]EvaluaciónRiesgoCorrup!$F$11&gt;75,F18=3,H18=10),$H$26,IF(AND(N18&gt;0,[4]EvaluaciónRiesgoCorrup!$F$11&gt;75,F18=3,H18=20),$H$26," ")))</f>
        <v xml:space="preserve"> </v>
      </c>
      <c r="BD18" s="26" t="str">
        <f>IF(AND(N18&gt;0,[4]EvaluaciónRiesgoCorrup!$F$11&gt;75,F18=4,H18=5),$H$27,IF(AND(N18&gt;0,[4]EvaluaciónRiesgoCorrup!$F$11&gt;75,F18=4,H18=10),$H$27,IF(AND(N18&gt;0,[4]EvaluaciónRiesgoCorrup!$F$11&gt;75,F18=4,H18=20),$H$27," ")))</f>
        <v xml:space="preserve"> </v>
      </c>
      <c r="BE18" s="26" t="str">
        <f>IF(AND(N18&gt;0,[4]EvaluaciónRiesgoCorrup!$F$11&gt;75,F18=5,H18=5),$H$28,IF(AND(N18&gt;0,[4]EvaluaciónRiesgoCorrup!$F$11&gt;75,F18=5,H18=10),$H$28,IF(AND(N18&gt;0,[4]EvaluaciónRiesgoCorrup!$F$11&gt;75,F18=5,H18=20),$H$28," ")))</f>
        <v xml:space="preserve"> </v>
      </c>
      <c r="BH18" s="26" t="str">
        <f>IF(AND(N18&gt;0,[4]EvaluaciónRiesgoCorrup!$F$11&gt;50,[4]EvaluaciónRiesgoCorrup!$F$11&lt;76,F18=1,H18=5),$H$24,IF(AND(N18&gt;0,[4]EvaluaciónRiesgoCorrup!$F$11&gt;50,[4]EvaluaciónRiesgoCorrup!$F$11&lt;76,F18=1,H18=10),$H$24,IF(AND(N18&gt;0,[4]EvaluaciónRiesgoCorrup!$F$11&gt;50,[4]EvaluaciónRiesgoCorrup!$F$11&lt;76,F18=1,H18=20),$J$24," ")))</f>
        <v xml:space="preserve"> </v>
      </c>
      <c r="BI18" s="26" t="str">
        <f>IF(AND(N18&gt;0,[4]EvaluaciónRiesgoCorrup!$F$11&gt;50,[4]EvaluaciónRiesgoCorrup!$F$11&lt;76,F18=2,H18=5),$H$25,IF(AND(N18&gt;0,[4]EvaluaciónRiesgoCorrup!$F$11&gt;50,[4]EvaluaciónRiesgoCorrup!$F$11&lt;76,F18=2,H18=10),$H$25,IF(AND(N18&gt;0,[4]EvaluaciónRiesgoCorrup!$F$11&gt;50,[4]EvaluaciónRiesgoCorrup!$F$11&lt;76,F18=2,H18=20),$J$25," ")))</f>
        <v xml:space="preserve"> </v>
      </c>
      <c r="BJ18" s="26" t="str">
        <f>IF(AND(N18&gt;0,[4]EvaluaciónRiesgoCorrup!$F$11&gt;50,[4]EvaluaciónRiesgoCorrup!$F$11&lt;76,F18=3,H18=5),$H$26,IF(AND(N18&gt;0,[4]EvaluaciónRiesgoCorrup!$F$11&gt;50,[4]EvaluaciónRiesgoCorrup!$F$11&lt;76,F18=3,H18=10),$H$26,IF(AND(N18&gt;0,[4]EvaluaciónRiesgoCorrup!$F$11&gt;50,[4]EvaluaciónRiesgoCorrup!$F$11&lt;76,F18=3,H18=20),$J$26," ")))</f>
        <v xml:space="preserve"> </v>
      </c>
      <c r="BK18" s="26" t="str">
        <f>IF(AND(N18&gt;0,[4]EvaluaciónRiesgoCorrup!$F$11&gt;50,[4]EvaluaciónRiesgoCorrup!$F$11&lt;76,F18=4,H18=5),$H$27,IF(AND(N18&gt;0,[4]EvaluaciónRiesgoCorrup!$F$11&gt;50,[4]EvaluaciónRiesgoCorrup!$F$11&lt;76,F18=4,H18=10),$H$27,IF(AND(N18&gt;0,[4]EvaluaciónRiesgoCorrup!$F$11&gt;50,[4]EvaluaciónRiesgoCorrup!$F$11&lt;76,F18=4,H18=20),$J$27," ")))</f>
        <v xml:space="preserve"> </v>
      </c>
      <c r="BL18" s="26" t="str">
        <f>IF(AND(N18&gt;0,[4]EvaluaciónRiesgoCorrup!$F$11&gt;50,[4]EvaluaciónRiesgoCorrup!$F$11&lt;76,F18=5,H18=5),$H$28,IF(AND(N18&gt;0,[4]EvaluaciónRiesgoCorrup!$F$11&gt;50,[4]EvaluaciónRiesgoCorrup!$F$11&lt;76,F18=5,H18=10),$H$28,IF(AND(N18&gt;0,[4]EvaluaciónRiesgoCorrup!$F$11&gt;50,[4]EvaluaciónRiesgoCorrup!$F$11&lt;76,F18=5,H18=20),$J$28," ")))</f>
        <v xml:space="preserve"> </v>
      </c>
      <c r="BO18" s="26" t="str">
        <f>IF(AND(N18&gt;0,[4]EvaluaciónRiesgoCorrup!$F$11&lt;51,F18=1,H18=5),$H$24,IF(AND(N18&gt;0,[4]EvaluaciónRiesgoCorrup!$F$11&lt;51,F18=1,H18=10),$J$24,IF(AND(N18&gt;0,[4]EvaluaciónRiesgoCorrup!$F$11&lt;51,F18=1,H18=20),$K$24," ")))</f>
        <v xml:space="preserve"> </v>
      </c>
      <c r="BP18" s="26" t="str">
        <f>IF(AND(N18&gt;0,[4]EvaluaciónRiesgoCorrup!$F$11&lt;51,F18=2,H18=5),$H$25,IF(AND(N18&gt;0,[4]EvaluaciónRiesgoCorrup!$F$11&lt;51,F18=2,H18=10),$J$25,IF(AND(N18&gt;0,[4]EvaluaciónRiesgoCorrup!$F$11&lt;51,F18=2,H18=20),$K$25," ")))</f>
        <v xml:space="preserve"> </v>
      </c>
      <c r="BQ18" s="26" t="str">
        <f>IF(AND(N18&gt;0,[4]EvaluaciónRiesgoCorrup!$F$11&lt;51,F18=3,H18=5),$H$26,IF(AND(N18&gt;0,[4]EvaluaciónRiesgoCorrup!$F$11&lt;51,F18=3,H18=10),$J$26,IF(AND(N18&gt;0,[4]EvaluaciónRiesgoCorrup!$F$11&lt;51,F18=3,H18=20),$K$26," ")))</f>
        <v xml:space="preserve"> </v>
      </c>
      <c r="BR18" s="26" t="str">
        <f>IF(AND(N18&gt;0,[4]EvaluaciónRiesgoCorrup!$F$11&lt;51,F18=4,H18=5),$H$27,IF(AND(N18&gt;0,[4]EvaluaciónRiesgoCorrup!$F$11&lt;51,F18=4,H18=10),$J$27,IF(AND(N18&gt;0,[4]EvaluaciónRiesgoCorrup!$F$11&lt;51,F18=4,H18=20),$K$27," ")))</f>
        <v xml:space="preserve"> </v>
      </c>
      <c r="BS18" s="26" t="str">
        <f>IF(AND(N18&gt;0,[4]EvaluaciónRiesgoCorrup!$F$11&lt;51,F18=5,H18=5),$H$28,IF(AND(N18&gt;0,[4]EvaluaciónRiesgoCorrup!$F$11&lt;51,F18=5,H18=10),$J$28,IF(AND(N18&gt;0,[4]EvaluaciónRiesgoCorrup!$F$11&lt;51,F18=5,H18=20),$K$28," ")))</f>
        <v xml:space="preserve"> </v>
      </c>
    </row>
    <row r="19" spans="1:71" ht="69" customHeight="1" x14ac:dyDescent="0.25">
      <c r="A19" s="46"/>
      <c r="B19" s="22"/>
      <c r="C19" s="124"/>
      <c r="D19" s="22"/>
      <c r="E19" s="78"/>
    </row>
    <row r="20" spans="1:71" x14ac:dyDescent="0.25">
      <c r="A20" s="26"/>
      <c r="B20" s="28"/>
      <c r="C20" s="126"/>
      <c r="D20" s="28"/>
      <c r="E20" s="139"/>
    </row>
    <row r="21" spans="1:71" ht="15" thickBot="1" x14ac:dyDescent="0.3">
      <c r="A21" s="26"/>
      <c r="B21" s="28"/>
      <c r="C21" s="126"/>
      <c r="D21" s="28"/>
      <c r="E21" s="139"/>
      <c r="H21" s="30"/>
      <c r="I21" s="140"/>
      <c r="J21" s="30"/>
    </row>
    <row r="22" spans="1:71" ht="15.75" thickBot="1" x14ac:dyDescent="0.3">
      <c r="A22" s="6"/>
      <c r="B22" s="31"/>
      <c r="C22" s="139"/>
      <c r="D22" s="31"/>
      <c r="E22" s="139"/>
      <c r="F22" s="462" t="s">
        <v>26</v>
      </c>
      <c r="G22" s="77"/>
      <c r="H22" s="464" t="s">
        <v>10</v>
      </c>
      <c r="I22" s="464"/>
      <c r="J22" s="464"/>
      <c r="K22" s="465"/>
      <c r="L22" s="82"/>
      <c r="M22" s="2"/>
      <c r="R22" s="5"/>
      <c r="T22" s="2"/>
    </row>
    <row r="23" spans="1:71" ht="32.25" customHeight="1" thickBot="1" x14ac:dyDescent="0.3">
      <c r="A23" s="5"/>
      <c r="B23" s="32" t="s">
        <v>34</v>
      </c>
      <c r="C23" s="127"/>
      <c r="D23" s="32"/>
      <c r="E23" s="127"/>
      <c r="F23" s="463"/>
      <c r="G23" s="274"/>
      <c r="H23" s="33" t="s">
        <v>35</v>
      </c>
      <c r="I23" s="128"/>
      <c r="J23" s="34" t="s">
        <v>36</v>
      </c>
      <c r="K23" s="33" t="s">
        <v>37</v>
      </c>
      <c r="L23" s="83"/>
      <c r="M23" s="2"/>
      <c r="R23" s="5"/>
      <c r="T23" s="2"/>
    </row>
    <row r="24" spans="1:71" ht="15.75" thickBot="1" x14ac:dyDescent="0.3">
      <c r="B24" s="5" t="s">
        <v>38</v>
      </c>
      <c r="C24" s="118"/>
      <c r="F24" s="35" t="s">
        <v>39</v>
      </c>
      <c r="G24" s="129"/>
      <c r="H24" s="36" t="s">
        <v>40</v>
      </c>
      <c r="I24" s="130"/>
      <c r="J24" s="36" t="s">
        <v>40</v>
      </c>
      <c r="K24" s="37" t="s">
        <v>41</v>
      </c>
      <c r="L24" s="84"/>
      <c r="M24" s="2"/>
      <c r="R24" s="5"/>
      <c r="T24" s="2"/>
    </row>
    <row r="25" spans="1:71" ht="15.75" thickBot="1" x14ac:dyDescent="0.3">
      <c r="F25" s="35" t="s">
        <v>42</v>
      </c>
      <c r="G25" s="129"/>
      <c r="H25" s="36" t="s">
        <v>40</v>
      </c>
      <c r="I25" s="130"/>
      <c r="J25" s="37" t="s">
        <v>41</v>
      </c>
      <c r="K25" s="38" t="s">
        <v>43</v>
      </c>
      <c r="L25" s="85"/>
      <c r="M25" s="2"/>
      <c r="R25" s="5"/>
      <c r="T25" s="2"/>
    </row>
    <row r="26" spans="1:71" ht="15.75" thickBot="1" x14ac:dyDescent="0.3">
      <c r="F26" s="35" t="s">
        <v>44</v>
      </c>
      <c r="G26" s="129"/>
      <c r="H26" s="37" t="s">
        <v>41</v>
      </c>
      <c r="I26" s="131"/>
      <c r="J26" s="38" t="s">
        <v>43</v>
      </c>
      <c r="K26" s="39" t="s">
        <v>45</v>
      </c>
      <c r="L26" s="86"/>
      <c r="M26" s="2"/>
      <c r="R26" s="5"/>
      <c r="T26" s="2"/>
    </row>
    <row r="27" spans="1:71" ht="15.75" thickBot="1" x14ac:dyDescent="0.3">
      <c r="F27" s="35" t="s">
        <v>46</v>
      </c>
      <c r="G27" s="129"/>
      <c r="H27" s="37" t="s">
        <v>41</v>
      </c>
      <c r="I27" s="131"/>
      <c r="J27" s="38" t="s">
        <v>43</v>
      </c>
      <c r="K27" s="39" t="s">
        <v>45</v>
      </c>
      <c r="L27" s="86"/>
      <c r="M27" s="2"/>
      <c r="R27" s="5"/>
      <c r="T27" s="2"/>
    </row>
    <row r="28" spans="1:71" ht="15.75" thickBot="1" x14ac:dyDescent="0.3">
      <c r="F28" s="35" t="s">
        <v>47</v>
      </c>
      <c r="G28" s="129"/>
      <c r="H28" s="37" t="s">
        <v>41</v>
      </c>
      <c r="I28" s="131"/>
      <c r="J28" s="38" t="s">
        <v>43</v>
      </c>
      <c r="K28" s="39" t="s">
        <v>45</v>
      </c>
      <c r="L28" s="86"/>
      <c r="M28" s="2"/>
      <c r="R28" s="5"/>
      <c r="T28" s="2"/>
    </row>
    <row r="29" spans="1:71" x14ac:dyDescent="0.25">
      <c r="F29" s="2"/>
      <c r="G29" s="115"/>
      <c r="H29" s="2"/>
      <c r="I29" s="115"/>
      <c r="J29" s="2"/>
      <c r="K29" s="5"/>
      <c r="L29" s="118"/>
      <c r="N29" s="5"/>
    </row>
    <row r="30" spans="1:71" ht="15" x14ac:dyDescent="0.25">
      <c r="F30" s="40" t="s">
        <v>48</v>
      </c>
      <c r="G30" s="132"/>
      <c r="H30" s="2"/>
      <c r="I30" s="115"/>
      <c r="J30" s="2"/>
      <c r="K30" s="5"/>
      <c r="L30" s="118"/>
      <c r="N30" s="5"/>
      <c r="O30" s="5"/>
      <c r="P30" s="118"/>
      <c r="Q30" s="5"/>
    </row>
    <row r="31" spans="1:71" ht="15" x14ac:dyDescent="0.25">
      <c r="F31" s="41" t="s">
        <v>49</v>
      </c>
      <c r="G31" s="133"/>
      <c r="H31" s="2"/>
      <c r="I31" s="115"/>
      <c r="J31" s="2"/>
      <c r="K31" s="5"/>
      <c r="L31" s="118"/>
      <c r="N31" s="5"/>
      <c r="O31" s="5"/>
      <c r="P31" s="118"/>
      <c r="Q31" s="5"/>
    </row>
    <row r="32" spans="1:71" ht="15" x14ac:dyDescent="0.25">
      <c r="F32" s="42" t="s">
        <v>50</v>
      </c>
      <c r="G32" s="134"/>
      <c r="H32" s="2"/>
      <c r="I32" s="115"/>
      <c r="J32" s="2"/>
      <c r="K32" s="5"/>
      <c r="L32" s="118"/>
      <c r="N32" s="5"/>
      <c r="O32" s="5"/>
      <c r="P32" s="118"/>
      <c r="Q32" s="5"/>
    </row>
    <row r="33" spans="6:17" ht="15" x14ac:dyDescent="0.25">
      <c r="F33" s="43" t="s">
        <v>51</v>
      </c>
      <c r="G33" s="135"/>
      <c r="H33" s="2"/>
      <c r="I33" s="115"/>
      <c r="J33" s="2"/>
      <c r="K33" s="5"/>
      <c r="L33" s="118"/>
      <c r="N33" s="5"/>
      <c r="O33" s="5"/>
      <c r="P33" s="118"/>
      <c r="Q33" s="5"/>
    </row>
  </sheetData>
  <mergeCells count="36">
    <mergeCell ref="F22:F23"/>
    <mergeCell ref="H22:K22"/>
    <mergeCell ref="Q15:S15"/>
    <mergeCell ref="A12:D12"/>
    <mergeCell ref="AH13:AZ13"/>
    <mergeCell ref="F12:Z12"/>
    <mergeCell ref="L17:M17"/>
    <mergeCell ref="L18:M18"/>
    <mergeCell ref="U15:U16"/>
    <mergeCell ref="V15:V16"/>
    <mergeCell ref="W15:W16"/>
    <mergeCell ref="BB13:BU13"/>
    <mergeCell ref="A14:D14"/>
    <mergeCell ref="F14:H14"/>
    <mergeCell ref="K14:K16"/>
    <mergeCell ref="M14:O14"/>
    <mergeCell ref="Q14:S14"/>
    <mergeCell ref="T14:W14"/>
    <mergeCell ref="A15:A16"/>
    <mergeCell ref="B15:B16"/>
    <mergeCell ref="D15:D16"/>
    <mergeCell ref="F15:H15"/>
    <mergeCell ref="M15:O15"/>
    <mergeCell ref="T15:T16"/>
    <mergeCell ref="A6:D6"/>
    <mergeCell ref="F6:W6"/>
    <mergeCell ref="A8:D8"/>
    <mergeCell ref="F8:W8"/>
    <mergeCell ref="A10:D10"/>
    <mergeCell ref="F10:W10"/>
    <mergeCell ref="A1:D4"/>
    <mergeCell ref="F1:U4"/>
    <mergeCell ref="V1:W1"/>
    <mergeCell ref="V2:W2"/>
    <mergeCell ref="V3:W3"/>
    <mergeCell ref="V4:W4"/>
  </mergeCells>
  <conditionalFormatting sqref="O18">
    <cfRule type="containsText" dxfId="99" priority="21" operator="containsText" text="E">
      <formula>NOT(ISERROR(SEARCH("E",O18)))</formula>
    </cfRule>
    <cfRule type="containsText" dxfId="98" priority="22" operator="containsText" text="M">
      <formula>NOT(ISERROR(SEARCH("M",O18)))</formula>
    </cfRule>
    <cfRule type="containsText" dxfId="97" priority="23" operator="containsText" text="A">
      <formula>NOT(ISERROR(SEARCH("A",O18)))</formula>
    </cfRule>
    <cfRule type="containsText" dxfId="96" priority="24" operator="containsText" text="B">
      <formula>NOT(ISERROR(SEARCH("B",O18)))</formula>
    </cfRule>
  </conditionalFormatting>
  <conditionalFormatting sqref="J18">
    <cfRule type="containsText" dxfId="95" priority="17" operator="containsText" text="E">
      <formula>NOT(ISERROR(SEARCH("E",J18)))</formula>
    </cfRule>
    <cfRule type="containsText" dxfId="94" priority="18" operator="containsText" text="M">
      <formula>NOT(ISERROR(SEARCH("M",J18)))</formula>
    </cfRule>
    <cfRule type="containsText" dxfId="93" priority="19" operator="containsText" text="A">
      <formula>NOT(ISERROR(SEARCH("A",J18)))</formula>
    </cfRule>
    <cfRule type="containsText" dxfId="92" priority="20" operator="containsText" text="B">
      <formula>NOT(ISERROR(SEARCH("B",J18)))</formula>
    </cfRule>
  </conditionalFormatting>
  <conditionalFormatting sqref="O17">
    <cfRule type="containsText" dxfId="91" priority="5" operator="containsText" text="E">
      <formula>NOT(ISERROR(SEARCH("E",O17)))</formula>
    </cfRule>
    <cfRule type="containsText" dxfId="90" priority="6" operator="containsText" text="M">
      <formula>NOT(ISERROR(SEARCH("M",O17)))</formula>
    </cfRule>
    <cfRule type="containsText" dxfId="89" priority="7" operator="containsText" text="A">
      <formula>NOT(ISERROR(SEARCH("A",O17)))</formula>
    </cfRule>
    <cfRule type="containsText" dxfId="88" priority="8" operator="containsText" text="B">
      <formula>NOT(ISERROR(SEARCH("B",O17)))</formula>
    </cfRule>
  </conditionalFormatting>
  <conditionalFormatting sqref="J17">
    <cfRule type="containsText" dxfId="87" priority="1" operator="containsText" text="E">
      <formula>NOT(ISERROR(SEARCH("E",J17)))</formula>
    </cfRule>
    <cfRule type="containsText" dxfId="86" priority="2" operator="containsText" text="M">
      <formula>NOT(ISERROR(SEARCH("M",J17)))</formula>
    </cfRule>
    <cfRule type="containsText" dxfId="85" priority="3" operator="containsText" text="A">
      <formula>NOT(ISERROR(SEARCH("A",J17)))</formula>
    </cfRule>
    <cfRule type="containsText" dxfId="84" priority="4" operator="containsText" text="B">
      <formula>NOT(ISERROR(SEARCH("B",J17)))</formula>
    </cfRule>
  </conditionalFormatting>
  <dataValidations count="3">
    <dataValidation type="list" allowBlank="1" showInputMessage="1" showErrorMessage="1" sqref="M19:P19">
      <formula1>#REF!</formula1>
    </dataValidation>
    <dataValidation type="list" allowBlank="1" showInputMessage="1" showErrorMessage="1" sqref="Q19:R19">
      <formula1>$J$30:$J$33</formula1>
    </dataValidation>
    <dataValidation type="list" allowBlank="1" showInputMessage="1" showErrorMessage="1" promptTitle="AFECTA A:" prompt="Seleccione según a quien afecte el control" sqref="L17:M18">
      <formula1>$XFD$2:$XFD$3</formula1>
    </dataValidation>
  </dataValidations>
  <pageMargins left="0.7" right="0.7" top="0.75" bottom="0.75" header="0.3" footer="0.3"/>
  <pageSetup scale="1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1"/>
  <sheetViews>
    <sheetView showGridLines="0" view="pageBreakPreview" topLeftCell="D1" zoomScale="70" zoomScaleNormal="70" zoomScaleSheetLayoutView="70" workbookViewId="0">
      <selection activeCell="F12" sqref="F12:W12"/>
    </sheetView>
  </sheetViews>
  <sheetFormatPr baseColWidth="10" defaultColWidth="11.42578125" defaultRowHeight="14.25" x14ac:dyDescent="0.25"/>
  <cols>
    <col min="1" max="1" width="41.28515625" style="2" customWidth="1"/>
    <col min="2" max="2" width="40.42578125" style="2" customWidth="1"/>
    <col min="3" max="3" width="40.42578125" style="115" customWidth="1"/>
    <col min="4" max="4" width="40.42578125" style="2" customWidth="1"/>
    <col min="5" max="5" width="40.42578125" style="115" customWidth="1"/>
    <col min="6" max="6" width="27" style="5" customWidth="1"/>
    <col min="7" max="7" width="27" style="118" customWidth="1"/>
    <col min="8" max="8" width="19" style="5" customWidth="1"/>
    <col min="9" max="9" width="19" style="118" customWidth="1"/>
    <col min="10" max="10" width="26.7109375" style="5" customWidth="1"/>
    <col min="11" max="11" width="31.5703125" style="2" customWidth="1"/>
    <col min="12" max="12" width="29.7109375" style="115" customWidth="1"/>
    <col min="13" max="13" width="17.7109375" style="5" customWidth="1"/>
    <col min="14" max="14" width="18.5703125" style="2" customWidth="1"/>
    <col min="15" max="15" width="21.7109375" style="2" customWidth="1"/>
    <col min="16" max="16" width="21.7109375" style="115" customWidth="1"/>
    <col min="17" max="17" width="19.85546875" style="2" customWidth="1"/>
    <col min="18" max="18" width="50.7109375" style="2" customWidth="1"/>
    <col min="19" max="19" width="20.140625" style="2" customWidth="1"/>
    <col min="20" max="20" width="24.140625" style="5" customWidth="1"/>
    <col min="21" max="21" width="64.85546875" style="2" customWidth="1"/>
    <col min="22" max="22" width="30.42578125" style="2" customWidth="1"/>
    <col min="23" max="23" width="58.5703125" style="2" customWidth="1"/>
    <col min="24" max="24" width="30.42578125" style="2" customWidth="1"/>
    <col min="25" max="25" width="36" style="2" hidden="1" customWidth="1"/>
    <col min="26" max="26" width="0" style="2" hidden="1" customWidth="1"/>
    <col min="27" max="73" width="11.42578125" style="2" hidden="1" customWidth="1"/>
    <col min="74" max="74" width="11.42578125" style="2" customWidth="1"/>
    <col min="75" max="16384" width="11.42578125" style="2"/>
  </cols>
  <sheetData>
    <row r="1" spans="1:73" ht="21" customHeight="1" x14ac:dyDescent="0.25">
      <c r="A1" s="491"/>
      <c r="B1" s="491"/>
      <c r="C1" s="491"/>
      <c r="D1" s="491"/>
      <c r="E1" s="72"/>
      <c r="F1" s="492" t="s">
        <v>0</v>
      </c>
      <c r="G1" s="493"/>
      <c r="H1" s="493"/>
      <c r="I1" s="493"/>
      <c r="J1" s="493"/>
      <c r="K1" s="493"/>
      <c r="L1" s="493"/>
      <c r="M1" s="493"/>
      <c r="N1" s="493"/>
      <c r="O1" s="493"/>
      <c r="P1" s="493"/>
      <c r="Q1" s="493"/>
      <c r="R1" s="493"/>
      <c r="S1" s="493"/>
      <c r="T1" s="493"/>
      <c r="U1" s="494"/>
      <c r="V1" s="501" t="s">
        <v>1</v>
      </c>
      <c r="W1" s="502"/>
      <c r="X1" s="1"/>
      <c r="Y1" s="1"/>
    </row>
    <row r="2" spans="1:73" ht="22.5" customHeight="1" x14ac:dyDescent="0.25">
      <c r="A2" s="491"/>
      <c r="B2" s="491"/>
      <c r="C2" s="491"/>
      <c r="D2" s="491"/>
      <c r="E2" s="73"/>
      <c r="F2" s="495"/>
      <c r="G2" s="496"/>
      <c r="H2" s="496"/>
      <c r="I2" s="496"/>
      <c r="J2" s="496"/>
      <c r="K2" s="496"/>
      <c r="L2" s="496"/>
      <c r="M2" s="496"/>
      <c r="N2" s="496"/>
      <c r="O2" s="496"/>
      <c r="P2" s="496"/>
      <c r="Q2" s="496"/>
      <c r="R2" s="496"/>
      <c r="S2" s="496"/>
      <c r="T2" s="496"/>
      <c r="U2" s="497"/>
      <c r="V2" s="501" t="s">
        <v>162</v>
      </c>
      <c r="W2" s="502"/>
      <c r="X2" s="1"/>
      <c r="Y2" s="1"/>
    </row>
    <row r="3" spans="1:73" ht="21" customHeight="1" x14ac:dyDescent="0.25">
      <c r="A3" s="491"/>
      <c r="B3" s="491"/>
      <c r="C3" s="491"/>
      <c r="D3" s="491"/>
      <c r="E3" s="73"/>
      <c r="F3" s="495"/>
      <c r="G3" s="496"/>
      <c r="H3" s="496"/>
      <c r="I3" s="496"/>
      <c r="J3" s="496"/>
      <c r="K3" s="496"/>
      <c r="L3" s="496"/>
      <c r="M3" s="496"/>
      <c r="N3" s="496"/>
      <c r="O3" s="496"/>
      <c r="P3" s="496"/>
      <c r="Q3" s="496"/>
      <c r="R3" s="496"/>
      <c r="S3" s="496"/>
      <c r="T3" s="496"/>
      <c r="U3" s="497"/>
      <c r="V3" s="501" t="s">
        <v>163</v>
      </c>
      <c r="W3" s="502"/>
      <c r="X3" s="1"/>
      <c r="Y3" s="1"/>
    </row>
    <row r="4" spans="1:73" ht="20.25" customHeight="1" x14ac:dyDescent="0.25">
      <c r="A4" s="491"/>
      <c r="B4" s="491"/>
      <c r="C4" s="491"/>
      <c r="D4" s="491"/>
      <c r="E4" s="74"/>
      <c r="F4" s="498"/>
      <c r="G4" s="499"/>
      <c r="H4" s="499"/>
      <c r="I4" s="499"/>
      <c r="J4" s="499"/>
      <c r="K4" s="499"/>
      <c r="L4" s="499"/>
      <c r="M4" s="499"/>
      <c r="N4" s="499"/>
      <c r="O4" s="499"/>
      <c r="P4" s="499"/>
      <c r="Q4" s="499"/>
      <c r="R4" s="499"/>
      <c r="S4" s="499"/>
      <c r="T4" s="499"/>
      <c r="U4" s="500"/>
      <c r="V4" s="501" t="s">
        <v>2</v>
      </c>
      <c r="W4" s="502"/>
      <c r="X4" s="1"/>
      <c r="Y4" s="1"/>
    </row>
    <row r="5" spans="1:73" ht="8.25" customHeight="1" x14ac:dyDescent="0.25">
      <c r="B5" s="3"/>
      <c r="C5" s="116"/>
      <c r="D5" s="3"/>
      <c r="E5" s="116"/>
      <c r="F5" s="4"/>
      <c r="G5" s="117"/>
      <c r="H5" s="4"/>
      <c r="I5" s="117"/>
      <c r="J5" s="4"/>
      <c r="K5" s="4"/>
      <c r="L5" s="117"/>
      <c r="M5" s="4"/>
      <c r="N5" s="4"/>
      <c r="O5" s="4"/>
      <c r="P5" s="117"/>
      <c r="Q5" s="4"/>
      <c r="R5" s="4"/>
      <c r="X5" s="6"/>
      <c r="Y5" s="6"/>
    </row>
    <row r="6" spans="1:73" ht="15" x14ac:dyDescent="0.25">
      <c r="A6" s="471" t="s">
        <v>3</v>
      </c>
      <c r="B6" s="471"/>
      <c r="C6" s="471"/>
      <c r="D6" s="471"/>
      <c r="E6" s="75"/>
      <c r="F6" s="485" t="str">
        <f>[5]IdentRiesgo!B2</f>
        <v>Generación de conocimiento e investigación</v>
      </c>
      <c r="G6" s="486"/>
      <c r="H6" s="486"/>
      <c r="I6" s="486"/>
      <c r="J6" s="486"/>
      <c r="K6" s="486"/>
      <c r="L6" s="486"/>
      <c r="M6" s="486"/>
      <c r="N6" s="486"/>
      <c r="O6" s="486"/>
      <c r="P6" s="486"/>
      <c r="Q6" s="486"/>
      <c r="R6" s="486"/>
      <c r="S6" s="486"/>
      <c r="T6" s="486"/>
      <c r="U6" s="486"/>
      <c r="V6" s="486"/>
      <c r="W6" s="487"/>
      <c r="X6" s="6"/>
      <c r="Y6" s="6"/>
    </row>
    <row r="7" spans="1:73" ht="6.75" customHeight="1" x14ac:dyDescent="0.25">
      <c r="B7" s="3"/>
      <c r="C7" s="116"/>
      <c r="D7" s="3"/>
      <c r="E7" s="116"/>
      <c r="F7" s="7"/>
      <c r="G7" s="121"/>
      <c r="H7" s="7"/>
      <c r="I7" s="121"/>
      <c r="J7" s="7"/>
      <c r="K7" s="7"/>
      <c r="L7" s="121"/>
      <c r="M7" s="7"/>
      <c r="N7" s="7"/>
      <c r="O7" s="7"/>
      <c r="P7" s="121"/>
      <c r="Q7" s="7"/>
      <c r="R7" s="7"/>
      <c r="S7" s="8"/>
      <c r="T7" s="8"/>
      <c r="U7" s="8"/>
      <c r="V7" s="8"/>
      <c r="W7" s="8"/>
      <c r="X7" s="6"/>
      <c r="Y7" s="6"/>
    </row>
    <row r="8" spans="1:73" ht="39.75" customHeight="1" x14ac:dyDescent="0.25">
      <c r="A8" s="471" t="s">
        <v>4</v>
      </c>
      <c r="B8" s="471"/>
      <c r="C8" s="471"/>
      <c r="D8" s="471"/>
      <c r="E8" s="75"/>
      <c r="F8" s="488" t="str">
        <f>[5]IdentRiesgo!B3</f>
        <v xml:space="preserve">Generar conocimiento e investigación sobre la dinámica de los recursos naturales y su interacción con la sociedad, para la toma de decisiones. </v>
      </c>
      <c r="G8" s="489"/>
      <c r="H8" s="489"/>
      <c r="I8" s="489"/>
      <c r="J8" s="489"/>
      <c r="K8" s="489"/>
      <c r="L8" s="489"/>
      <c r="M8" s="489"/>
      <c r="N8" s="489"/>
      <c r="O8" s="489"/>
      <c r="P8" s="489"/>
      <c r="Q8" s="489"/>
      <c r="R8" s="489"/>
      <c r="S8" s="489"/>
      <c r="T8" s="489"/>
      <c r="U8" s="489"/>
      <c r="V8" s="489"/>
      <c r="W8" s="490"/>
      <c r="X8" s="9"/>
      <c r="Y8" s="9"/>
    </row>
    <row r="9" spans="1:73" ht="6.75" customHeight="1" x14ac:dyDescent="0.25">
      <c r="B9" s="10"/>
      <c r="C9" s="119"/>
      <c r="D9" s="10"/>
      <c r="E9" s="119"/>
      <c r="F9" s="11"/>
      <c r="G9" s="122"/>
      <c r="H9" s="11"/>
      <c r="I9" s="122"/>
      <c r="J9" s="11"/>
      <c r="K9" s="11"/>
      <c r="L9" s="122"/>
      <c r="M9" s="11"/>
      <c r="N9" s="11"/>
      <c r="O9" s="11"/>
      <c r="P9" s="122"/>
      <c r="Q9" s="11"/>
      <c r="R9" s="11"/>
      <c r="S9" s="8"/>
      <c r="T9" s="8"/>
      <c r="U9" s="8"/>
      <c r="V9" s="8"/>
      <c r="W9" s="8"/>
      <c r="X9" s="6"/>
      <c r="Y9" s="6"/>
    </row>
    <row r="10" spans="1:73" ht="15" x14ac:dyDescent="0.25">
      <c r="A10" s="471" t="s">
        <v>5</v>
      </c>
      <c r="B10" s="471"/>
      <c r="C10" s="471"/>
      <c r="D10" s="471"/>
      <c r="E10" s="75"/>
      <c r="F10" s="472" t="s">
        <v>65</v>
      </c>
      <c r="G10" s="473"/>
      <c r="H10" s="473"/>
      <c r="I10" s="473"/>
      <c r="J10" s="473"/>
      <c r="K10" s="473"/>
      <c r="L10" s="473"/>
      <c r="M10" s="473"/>
      <c r="N10" s="473"/>
      <c r="O10" s="473"/>
      <c r="P10" s="473"/>
      <c r="Q10" s="473"/>
      <c r="R10" s="473"/>
      <c r="S10" s="473"/>
      <c r="T10" s="473"/>
      <c r="U10" s="473"/>
      <c r="V10" s="473"/>
      <c r="W10" s="474"/>
      <c r="X10" s="12"/>
      <c r="Y10" s="12"/>
    </row>
    <row r="11" spans="1:73" ht="5.25" customHeight="1" x14ac:dyDescent="0.25">
      <c r="B11" s="3"/>
      <c r="C11" s="116"/>
      <c r="D11" s="3"/>
      <c r="E11" s="116"/>
      <c r="F11" s="13"/>
      <c r="G11" s="141"/>
      <c r="H11" s="13"/>
      <c r="I11" s="141"/>
      <c r="J11" s="13"/>
      <c r="K11" s="13"/>
      <c r="L11" s="141"/>
      <c r="M11" s="13"/>
      <c r="N11" s="13"/>
      <c r="O11" s="13"/>
      <c r="P11" s="141"/>
      <c r="Q11" s="13"/>
      <c r="R11" s="13"/>
      <c r="S11" s="8"/>
      <c r="T11" s="8"/>
      <c r="U11" s="8"/>
      <c r="V11" s="8"/>
      <c r="W11" s="8"/>
      <c r="X11" s="6"/>
      <c r="Y11" s="6"/>
    </row>
    <row r="12" spans="1:73" ht="15" x14ac:dyDescent="0.25">
      <c r="A12" s="471" t="s">
        <v>6</v>
      </c>
      <c r="B12" s="471"/>
      <c r="C12" s="471"/>
      <c r="D12" s="471"/>
      <c r="E12" s="75"/>
      <c r="F12" s="472" t="s">
        <v>278</v>
      </c>
      <c r="G12" s="473"/>
      <c r="H12" s="473"/>
      <c r="I12" s="473"/>
      <c r="J12" s="473"/>
      <c r="K12" s="473"/>
      <c r="L12" s="473"/>
      <c r="M12" s="473"/>
      <c r="N12" s="473"/>
      <c r="O12" s="473"/>
      <c r="P12" s="473"/>
      <c r="Q12" s="473"/>
      <c r="R12" s="473"/>
      <c r="S12" s="473"/>
      <c r="T12" s="473"/>
      <c r="U12" s="473"/>
      <c r="V12" s="473"/>
      <c r="W12" s="474"/>
      <c r="X12" s="12"/>
      <c r="Y12" s="12"/>
      <c r="AB12" s="2" t="s">
        <v>7</v>
      </c>
    </row>
    <row r="13" spans="1:73" ht="15.75" thickBot="1" x14ac:dyDescent="0.3">
      <c r="B13" s="3"/>
      <c r="C13" s="116"/>
      <c r="D13" s="3"/>
      <c r="E13" s="116"/>
      <c r="F13" s="14"/>
      <c r="G13" s="123"/>
      <c r="H13" s="15"/>
      <c r="I13" s="120"/>
      <c r="J13" s="15"/>
      <c r="K13" s="7"/>
      <c r="L13" s="121"/>
      <c r="M13" s="15"/>
      <c r="N13" s="7"/>
      <c r="O13" s="7"/>
      <c r="P13" s="121"/>
      <c r="Q13" s="7"/>
      <c r="R13" s="7"/>
      <c r="S13" s="7"/>
      <c r="T13" s="15"/>
      <c r="U13" s="7"/>
      <c r="X13" s="6"/>
      <c r="Y13" s="6"/>
      <c r="AB13" s="2" t="s">
        <v>8</v>
      </c>
      <c r="AH13" s="475" t="s">
        <v>9</v>
      </c>
      <c r="AI13" s="475"/>
      <c r="AJ13" s="475"/>
      <c r="AK13" s="475"/>
      <c r="AL13" s="475"/>
      <c r="AM13" s="475"/>
      <c r="AN13" s="475"/>
      <c r="AO13" s="475"/>
      <c r="AP13" s="475"/>
      <c r="AQ13" s="475"/>
      <c r="AR13" s="475"/>
      <c r="AS13" s="475"/>
      <c r="AT13" s="475"/>
      <c r="AU13" s="475"/>
      <c r="AV13" s="475"/>
      <c r="AW13" s="475"/>
      <c r="AX13" s="475"/>
      <c r="AY13" s="475"/>
      <c r="AZ13" s="475"/>
      <c r="BB13" s="475" t="s">
        <v>10</v>
      </c>
      <c r="BC13" s="475"/>
      <c r="BD13" s="475"/>
      <c r="BE13" s="475"/>
      <c r="BF13" s="475"/>
      <c r="BG13" s="475"/>
      <c r="BH13" s="475"/>
      <c r="BI13" s="475"/>
      <c r="BJ13" s="475"/>
      <c r="BK13" s="475"/>
      <c r="BL13" s="475"/>
      <c r="BM13" s="475"/>
      <c r="BN13" s="475"/>
      <c r="BO13" s="475"/>
      <c r="BP13" s="475"/>
      <c r="BQ13" s="475"/>
      <c r="BR13" s="475"/>
      <c r="BS13" s="475"/>
      <c r="BT13" s="475"/>
      <c r="BU13" s="475"/>
    </row>
    <row r="14" spans="1:73" s="17" customFormat="1" ht="15" customHeight="1" x14ac:dyDescent="0.25">
      <c r="A14" s="476" t="s">
        <v>11</v>
      </c>
      <c r="B14" s="477"/>
      <c r="C14" s="477"/>
      <c r="D14" s="478"/>
      <c r="E14" s="76"/>
      <c r="F14" s="479" t="s">
        <v>12</v>
      </c>
      <c r="G14" s="479"/>
      <c r="H14" s="479"/>
      <c r="I14" s="136"/>
      <c r="J14" s="16"/>
      <c r="K14" s="480" t="s">
        <v>13</v>
      </c>
      <c r="L14" s="80"/>
      <c r="M14" s="476" t="s">
        <v>14</v>
      </c>
      <c r="N14" s="477"/>
      <c r="O14" s="478"/>
      <c r="P14" s="278"/>
      <c r="Q14" s="483" t="s">
        <v>15</v>
      </c>
      <c r="R14" s="483"/>
      <c r="S14" s="483"/>
      <c r="T14" s="483" t="s">
        <v>16</v>
      </c>
      <c r="U14" s="483"/>
      <c r="V14" s="483"/>
      <c r="W14" s="483"/>
    </row>
    <row r="15" spans="1:73" s="17" customFormat="1" ht="14.25" customHeight="1" x14ac:dyDescent="0.25">
      <c r="A15" s="481" t="s">
        <v>17</v>
      </c>
      <c r="B15" s="481" t="s">
        <v>18</v>
      </c>
      <c r="C15" s="279" t="s">
        <v>77</v>
      </c>
      <c r="D15" s="481" t="s">
        <v>19</v>
      </c>
      <c r="E15" s="279"/>
      <c r="F15" s="461" t="s">
        <v>20</v>
      </c>
      <c r="G15" s="461"/>
      <c r="H15" s="461"/>
      <c r="I15" s="275"/>
      <c r="J15" s="49"/>
      <c r="K15" s="481"/>
      <c r="L15" s="79"/>
      <c r="M15" s="466" t="s">
        <v>21</v>
      </c>
      <c r="N15" s="467"/>
      <c r="O15" s="468"/>
      <c r="P15" s="277"/>
      <c r="Q15" s="466" t="s">
        <v>22</v>
      </c>
      <c r="R15" s="467"/>
      <c r="S15" s="468"/>
      <c r="T15" s="461" t="s">
        <v>23</v>
      </c>
      <c r="U15" s="461" t="s">
        <v>24</v>
      </c>
      <c r="V15" s="461" t="s">
        <v>5</v>
      </c>
      <c r="W15" s="461" t="s">
        <v>25</v>
      </c>
    </row>
    <row r="16" spans="1:73" s="17" customFormat="1" ht="63" customHeight="1" x14ac:dyDescent="0.25">
      <c r="A16" s="484"/>
      <c r="B16" s="484"/>
      <c r="C16" s="281"/>
      <c r="D16" s="484"/>
      <c r="E16" s="281" t="s">
        <v>78</v>
      </c>
      <c r="F16" s="49" t="s">
        <v>26</v>
      </c>
      <c r="G16" s="275" t="s">
        <v>77</v>
      </c>
      <c r="H16" s="49" t="s">
        <v>10</v>
      </c>
      <c r="I16" s="275" t="s">
        <v>77</v>
      </c>
      <c r="J16" s="49" t="s">
        <v>27</v>
      </c>
      <c r="K16" s="482"/>
      <c r="L16" s="280" t="s">
        <v>79</v>
      </c>
      <c r="M16" s="19" t="s">
        <v>26</v>
      </c>
      <c r="N16" s="19" t="s">
        <v>10</v>
      </c>
      <c r="O16" s="48" t="s">
        <v>27</v>
      </c>
      <c r="P16" s="281" t="s">
        <v>81</v>
      </c>
      <c r="Q16" s="49" t="s">
        <v>28</v>
      </c>
      <c r="R16" s="49" t="s">
        <v>24</v>
      </c>
      <c r="S16" s="49" t="s">
        <v>29</v>
      </c>
      <c r="T16" s="461"/>
      <c r="U16" s="461"/>
      <c r="V16" s="461"/>
      <c r="W16" s="461"/>
    </row>
    <row r="17" spans="1:23" ht="157.5" customHeight="1" x14ac:dyDescent="0.25">
      <c r="A17" s="359" t="str">
        <f>IF(ISTEXT([6]IdentificaciónRiesgos!$B7),[6]IdentificaciónRiesgos!$A7,"")</f>
        <v>Falta de personal idoneo para adelantar las investigaciones</v>
      </c>
      <c r="B17" s="359" t="s">
        <v>239</v>
      </c>
      <c r="C17" s="124" t="s">
        <v>240</v>
      </c>
      <c r="D17" s="124" t="s">
        <v>241</v>
      </c>
      <c r="E17" s="124" t="s">
        <v>211</v>
      </c>
      <c r="F17" s="447">
        <v>2</v>
      </c>
      <c r="G17" s="447" t="s">
        <v>96</v>
      </c>
      <c r="H17" s="447">
        <v>20</v>
      </c>
      <c r="I17" s="447" t="s">
        <v>242</v>
      </c>
      <c r="J17" s="357" t="s">
        <v>43</v>
      </c>
      <c r="K17" s="126" t="s">
        <v>243</v>
      </c>
      <c r="L17" s="429" t="s">
        <v>26</v>
      </c>
      <c r="M17" s="447"/>
      <c r="N17" s="429"/>
      <c r="O17" s="357" t="s">
        <v>43</v>
      </c>
      <c r="P17" s="349" t="s">
        <v>85</v>
      </c>
      <c r="Q17" s="444" t="s">
        <v>70</v>
      </c>
      <c r="R17" s="442" t="s">
        <v>237</v>
      </c>
      <c r="S17" s="444" t="s">
        <v>238</v>
      </c>
      <c r="T17" s="445"/>
      <c r="U17" s="362"/>
      <c r="V17" s="361" t="s">
        <v>248</v>
      </c>
      <c r="W17" s="439"/>
    </row>
    <row r="18" spans="1:23" x14ac:dyDescent="0.25">
      <c r="A18" s="451"/>
      <c r="B18" s="81"/>
      <c r="C18" s="81"/>
      <c r="D18" s="81"/>
      <c r="E18" s="139"/>
    </row>
    <row r="19" spans="1:23" ht="15" thickBot="1" x14ac:dyDescent="0.3">
      <c r="A19" s="26"/>
      <c r="B19" s="28"/>
      <c r="C19" s="126"/>
      <c r="D19" s="28"/>
      <c r="E19" s="139"/>
      <c r="H19" s="30"/>
      <c r="I19" s="140"/>
      <c r="J19" s="30"/>
    </row>
    <row r="20" spans="1:23" ht="15.75" thickBot="1" x14ac:dyDescent="0.3">
      <c r="A20" s="6"/>
      <c r="B20" s="31"/>
      <c r="C20" s="139"/>
      <c r="D20" s="31"/>
      <c r="E20" s="139"/>
      <c r="F20" s="462" t="s">
        <v>26</v>
      </c>
      <c r="G20" s="77"/>
      <c r="H20" s="464" t="s">
        <v>10</v>
      </c>
      <c r="I20" s="464"/>
      <c r="J20" s="464"/>
      <c r="K20" s="465"/>
      <c r="L20" s="82"/>
      <c r="M20" s="2"/>
      <c r="R20" s="5"/>
      <c r="T20" s="2"/>
    </row>
    <row r="21" spans="1:23" ht="32.25" customHeight="1" thickBot="1" x14ac:dyDescent="0.3">
      <c r="A21" s="5"/>
      <c r="B21" s="32" t="s">
        <v>34</v>
      </c>
      <c r="C21" s="127"/>
      <c r="D21" s="32"/>
      <c r="E21" s="127"/>
      <c r="F21" s="463"/>
      <c r="G21" s="276"/>
      <c r="H21" s="33" t="s">
        <v>35</v>
      </c>
      <c r="I21" s="128"/>
      <c r="J21" s="34" t="s">
        <v>36</v>
      </c>
      <c r="K21" s="33" t="s">
        <v>37</v>
      </c>
      <c r="L21" s="83"/>
      <c r="M21" s="2"/>
      <c r="R21" s="5"/>
      <c r="T21" s="2"/>
    </row>
    <row r="22" spans="1:23" ht="15.75" thickBot="1" x14ac:dyDescent="0.3">
      <c r="B22" s="5" t="s">
        <v>38</v>
      </c>
      <c r="C22" s="118"/>
      <c r="F22" s="35" t="s">
        <v>39</v>
      </c>
      <c r="G22" s="129"/>
      <c r="H22" s="36" t="s">
        <v>40</v>
      </c>
      <c r="I22" s="130"/>
      <c r="J22" s="36" t="s">
        <v>40</v>
      </c>
      <c r="K22" s="37" t="s">
        <v>41</v>
      </c>
      <c r="L22" s="84"/>
      <c r="M22" s="2"/>
      <c r="R22" s="5"/>
      <c r="T22" s="2"/>
    </row>
    <row r="23" spans="1:23" ht="15.75" thickBot="1" x14ac:dyDescent="0.3">
      <c r="F23" s="35" t="s">
        <v>42</v>
      </c>
      <c r="G23" s="129"/>
      <c r="H23" s="36" t="s">
        <v>40</v>
      </c>
      <c r="I23" s="130"/>
      <c r="J23" s="37" t="s">
        <v>41</v>
      </c>
      <c r="K23" s="38" t="s">
        <v>43</v>
      </c>
      <c r="L23" s="85"/>
      <c r="M23" s="2"/>
      <c r="R23" s="5"/>
      <c r="T23" s="2"/>
    </row>
    <row r="24" spans="1:23" ht="15.75" thickBot="1" x14ac:dyDescent="0.3">
      <c r="F24" s="35" t="s">
        <v>44</v>
      </c>
      <c r="G24" s="129"/>
      <c r="H24" s="37" t="s">
        <v>41</v>
      </c>
      <c r="I24" s="131"/>
      <c r="J24" s="38" t="s">
        <v>43</v>
      </c>
      <c r="K24" s="39" t="s">
        <v>45</v>
      </c>
      <c r="L24" s="86"/>
      <c r="M24" s="2"/>
      <c r="R24" s="5"/>
      <c r="T24" s="2"/>
    </row>
    <row r="25" spans="1:23" ht="15.75" thickBot="1" x14ac:dyDescent="0.3">
      <c r="F25" s="35" t="s">
        <v>46</v>
      </c>
      <c r="G25" s="129"/>
      <c r="H25" s="37" t="s">
        <v>41</v>
      </c>
      <c r="I25" s="131"/>
      <c r="J25" s="38" t="s">
        <v>43</v>
      </c>
      <c r="K25" s="39" t="s">
        <v>45</v>
      </c>
      <c r="L25" s="86"/>
      <c r="M25" s="2"/>
      <c r="R25" s="5"/>
      <c r="T25" s="2"/>
    </row>
    <row r="26" spans="1:23" ht="15.75" thickBot="1" x14ac:dyDescent="0.3">
      <c r="F26" s="35" t="s">
        <v>47</v>
      </c>
      <c r="G26" s="129"/>
      <c r="H26" s="37" t="s">
        <v>41</v>
      </c>
      <c r="I26" s="131"/>
      <c r="J26" s="38" t="s">
        <v>43</v>
      </c>
      <c r="K26" s="39" t="s">
        <v>45</v>
      </c>
      <c r="L26" s="86"/>
      <c r="M26" s="2"/>
      <c r="R26" s="5"/>
      <c r="T26" s="2"/>
    </row>
    <row r="27" spans="1:23" x14ac:dyDescent="0.25">
      <c r="F27" s="2"/>
      <c r="G27" s="115"/>
      <c r="H27" s="2"/>
      <c r="I27" s="115"/>
      <c r="J27" s="2"/>
      <c r="K27" s="5"/>
      <c r="L27" s="118"/>
      <c r="N27" s="5"/>
    </row>
    <row r="28" spans="1:23" ht="15" x14ac:dyDescent="0.25">
      <c r="F28" s="40" t="s">
        <v>48</v>
      </c>
      <c r="G28" s="132"/>
      <c r="H28" s="2"/>
      <c r="I28" s="115"/>
      <c r="J28" s="2"/>
      <c r="K28" s="5"/>
      <c r="L28" s="118"/>
      <c r="N28" s="5"/>
      <c r="O28" s="5"/>
      <c r="P28" s="118"/>
      <c r="Q28" s="5"/>
    </row>
    <row r="29" spans="1:23" ht="15" x14ac:dyDescent="0.25">
      <c r="F29" s="41" t="s">
        <v>49</v>
      </c>
      <c r="G29" s="133"/>
      <c r="H29" s="2"/>
      <c r="I29" s="115"/>
      <c r="J29" s="2"/>
      <c r="K29" s="5"/>
      <c r="L29" s="118"/>
      <c r="N29" s="5"/>
      <c r="O29" s="5"/>
      <c r="P29" s="118"/>
      <c r="Q29" s="5"/>
    </row>
    <row r="30" spans="1:23" ht="15" x14ac:dyDescent="0.25">
      <c r="F30" s="42" t="s">
        <v>50</v>
      </c>
      <c r="G30" s="134"/>
      <c r="H30" s="2"/>
      <c r="I30" s="115"/>
      <c r="J30" s="2"/>
      <c r="K30" s="5"/>
      <c r="L30" s="118"/>
      <c r="N30" s="5"/>
      <c r="O30" s="5"/>
      <c r="P30" s="118"/>
      <c r="Q30" s="5"/>
    </row>
    <row r="31" spans="1:23" ht="15" x14ac:dyDescent="0.25">
      <c r="F31" s="43" t="s">
        <v>51</v>
      </c>
      <c r="G31" s="135"/>
      <c r="H31" s="2"/>
      <c r="I31" s="115"/>
      <c r="J31" s="2"/>
      <c r="K31" s="5"/>
      <c r="L31" s="118"/>
      <c r="N31" s="5"/>
      <c r="O31" s="5"/>
      <c r="P31" s="118"/>
      <c r="Q31" s="5"/>
    </row>
  </sheetData>
  <mergeCells count="34">
    <mergeCell ref="A1:D4"/>
    <mergeCell ref="F1:U4"/>
    <mergeCell ref="V1:W1"/>
    <mergeCell ref="V2:W2"/>
    <mergeCell ref="V3:W3"/>
    <mergeCell ref="V4:W4"/>
    <mergeCell ref="A6:D6"/>
    <mergeCell ref="F6:W6"/>
    <mergeCell ref="A8:D8"/>
    <mergeCell ref="F8:W8"/>
    <mergeCell ref="A10:D10"/>
    <mergeCell ref="F10:W10"/>
    <mergeCell ref="A12:D12"/>
    <mergeCell ref="F12:W12"/>
    <mergeCell ref="AH13:AZ13"/>
    <mergeCell ref="BB13:BU13"/>
    <mergeCell ref="A14:D14"/>
    <mergeCell ref="F14:H14"/>
    <mergeCell ref="K14:K16"/>
    <mergeCell ref="M14:O14"/>
    <mergeCell ref="Q14:S14"/>
    <mergeCell ref="T14:W14"/>
    <mergeCell ref="A15:A16"/>
    <mergeCell ref="B15:B16"/>
    <mergeCell ref="D15:D16"/>
    <mergeCell ref="F15:H15"/>
    <mergeCell ref="M15:O15"/>
    <mergeCell ref="T15:T16"/>
    <mergeCell ref="U15:U16"/>
    <mergeCell ref="V15:V16"/>
    <mergeCell ref="W15:W16"/>
    <mergeCell ref="F20:F21"/>
    <mergeCell ref="H20:K20"/>
    <mergeCell ref="Q15:S15"/>
  </mergeCells>
  <conditionalFormatting sqref="J17">
    <cfRule type="containsText" dxfId="83" priority="5" operator="containsText" text="E">
      <formula>NOT(ISERROR(SEARCH("E",J17)))</formula>
    </cfRule>
    <cfRule type="containsText" dxfId="82" priority="6" operator="containsText" text="M">
      <formula>NOT(ISERROR(SEARCH("M",J17)))</formula>
    </cfRule>
    <cfRule type="containsText" dxfId="81" priority="7" operator="containsText" text="A">
      <formula>NOT(ISERROR(SEARCH("A",J17)))</formula>
    </cfRule>
    <cfRule type="containsText" dxfId="80" priority="8" operator="containsText" text="B">
      <formula>NOT(ISERROR(SEARCH("B",J17)))</formula>
    </cfRule>
  </conditionalFormatting>
  <conditionalFormatting sqref="O17">
    <cfRule type="containsText" dxfId="79" priority="1" operator="containsText" text="E">
      <formula>NOT(ISERROR(SEARCH("E",O17)))</formula>
    </cfRule>
    <cfRule type="containsText" dxfId="78" priority="2" operator="containsText" text="M">
      <formula>NOT(ISERROR(SEARCH("M",O17)))</formula>
    </cfRule>
    <cfRule type="containsText" dxfId="77" priority="3" operator="containsText" text="A">
      <formula>NOT(ISERROR(SEARCH("A",O17)))</formula>
    </cfRule>
    <cfRule type="containsText" dxfId="76" priority="4" operator="containsText" text="B">
      <formula>NOT(ISERROR(SEARCH("B",O17)))</formula>
    </cfRule>
  </conditionalFormatting>
  <dataValidations count="1">
    <dataValidation type="list" allowBlank="1" showInputMessage="1" showErrorMessage="1" sqref="M17:N17">
      <formula1>#REF!</formula1>
    </dataValidation>
  </dataValidations>
  <pageMargins left="0.7" right="0.7" top="0.75" bottom="0.75" header="0.3" footer="0.3"/>
  <pageSetup scale="1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34"/>
  <sheetViews>
    <sheetView showGridLines="0" view="pageBreakPreview" topLeftCell="E3" zoomScale="110" zoomScaleNormal="70" zoomScaleSheetLayoutView="110" workbookViewId="0">
      <selection activeCell="A18" sqref="A18"/>
    </sheetView>
  </sheetViews>
  <sheetFormatPr baseColWidth="10" defaultColWidth="11.42578125" defaultRowHeight="14.25" x14ac:dyDescent="0.25"/>
  <cols>
    <col min="1" max="1" width="56.5703125" style="115" customWidth="1"/>
    <col min="2" max="5" width="40.42578125" style="115" customWidth="1"/>
    <col min="6" max="7" width="27" style="118" customWidth="1"/>
    <col min="8" max="9" width="19" style="118" customWidth="1"/>
    <col min="10" max="10" width="26.7109375" style="118" customWidth="1"/>
    <col min="11" max="11" width="29.7109375" style="115" customWidth="1"/>
    <col min="12" max="12" width="17.7109375" style="118" customWidth="1"/>
    <col min="13" max="13" width="18.5703125" style="115" customWidth="1"/>
    <col min="14" max="15" width="21.7109375" style="115" customWidth="1"/>
    <col min="16" max="16" width="19.85546875" style="115" customWidth="1"/>
    <col min="17" max="17" width="31.5703125" style="115" customWidth="1"/>
    <col min="18" max="18" width="17" style="115" customWidth="1"/>
    <col min="19" max="19" width="23.140625" style="118" customWidth="1"/>
    <col min="20" max="20" width="57.140625" style="115" customWidth="1"/>
    <col min="21" max="21" width="30.42578125" style="115" customWidth="1"/>
    <col min="22" max="22" width="34.140625" style="115" customWidth="1"/>
    <col min="23" max="23" width="30.42578125" style="115" customWidth="1"/>
    <col min="24" max="24" width="36" style="115" hidden="1" customWidth="1"/>
    <col min="25" max="25" width="0" style="115" hidden="1" customWidth="1"/>
    <col min="26" max="72" width="11.42578125" style="115" hidden="1" customWidth="1"/>
    <col min="73" max="73" width="11.42578125" style="115" customWidth="1"/>
    <col min="74" max="16384" width="11.42578125" style="115"/>
  </cols>
  <sheetData>
    <row r="1" spans="1:72" ht="21" customHeight="1" x14ac:dyDescent="0.25">
      <c r="A1" s="491"/>
      <c r="B1" s="491"/>
      <c r="C1" s="491"/>
      <c r="D1" s="491"/>
      <c r="E1" s="72"/>
      <c r="F1" s="492" t="s">
        <v>0</v>
      </c>
      <c r="G1" s="493"/>
      <c r="H1" s="493"/>
      <c r="I1" s="493"/>
      <c r="J1" s="493"/>
      <c r="K1" s="493"/>
      <c r="L1" s="493"/>
      <c r="M1" s="493"/>
      <c r="N1" s="493"/>
      <c r="O1" s="493"/>
      <c r="P1" s="493"/>
      <c r="Q1" s="493"/>
      <c r="R1" s="493"/>
      <c r="S1" s="493"/>
      <c r="T1" s="494"/>
      <c r="U1" s="501" t="s">
        <v>1</v>
      </c>
      <c r="V1" s="502"/>
      <c r="W1" s="1"/>
      <c r="X1" s="1"/>
    </row>
    <row r="2" spans="1:72" ht="22.5" customHeight="1" x14ac:dyDescent="0.25">
      <c r="A2" s="491"/>
      <c r="B2" s="491"/>
      <c r="C2" s="491"/>
      <c r="D2" s="491"/>
      <c r="E2" s="73"/>
      <c r="F2" s="495"/>
      <c r="G2" s="496"/>
      <c r="H2" s="496"/>
      <c r="I2" s="496"/>
      <c r="J2" s="496"/>
      <c r="K2" s="496"/>
      <c r="L2" s="496"/>
      <c r="M2" s="496"/>
      <c r="N2" s="496"/>
      <c r="O2" s="496"/>
      <c r="P2" s="496"/>
      <c r="Q2" s="496"/>
      <c r="R2" s="496"/>
      <c r="S2" s="496"/>
      <c r="T2" s="497"/>
      <c r="U2" s="501" t="s">
        <v>162</v>
      </c>
      <c r="V2" s="502"/>
      <c r="W2" s="1"/>
      <c r="X2" s="1"/>
    </row>
    <row r="3" spans="1:72" ht="21" customHeight="1" x14ac:dyDescent="0.25">
      <c r="A3" s="491"/>
      <c r="B3" s="491"/>
      <c r="C3" s="491"/>
      <c r="D3" s="491"/>
      <c r="E3" s="73"/>
      <c r="F3" s="495"/>
      <c r="G3" s="496"/>
      <c r="H3" s="496"/>
      <c r="I3" s="496"/>
      <c r="J3" s="496"/>
      <c r="K3" s="496"/>
      <c r="L3" s="496"/>
      <c r="M3" s="496"/>
      <c r="N3" s="496"/>
      <c r="O3" s="496"/>
      <c r="P3" s="496"/>
      <c r="Q3" s="496"/>
      <c r="R3" s="496"/>
      <c r="S3" s="496"/>
      <c r="T3" s="497"/>
      <c r="U3" s="501" t="s">
        <v>178</v>
      </c>
      <c r="V3" s="502"/>
      <c r="W3" s="1"/>
      <c r="X3" s="1"/>
    </row>
    <row r="4" spans="1:72" ht="20.25" customHeight="1" x14ac:dyDescent="0.25">
      <c r="A4" s="491"/>
      <c r="B4" s="491"/>
      <c r="C4" s="491"/>
      <c r="D4" s="491"/>
      <c r="E4" s="74"/>
      <c r="F4" s="498"/>
      <c r="G4" s="499"/>
      <c r="H4" s="499"/>
      <c r="I4" s="499"/>
      <c r="J4" s="499"/>
      <c r="K4" s="499"/>
      <c r="L4" s="499"/>
      <c r="M4" s="499"/>
      <c r="N4" s="499"/>
      <c r="O4" s="499"/>
      <c r="P4" s="499"/>
      <c r="Q4" s="499"/>
      <c r="R4" s="499"/>
      <c r="S4" s="499"/>
      <c r="T4" s="500"/>
      <c r="U4" s="501" t="s">
        <v>2</v>
      </c>
      <c r="V4" s="502"/>
      <c r="W4" s="1"/>
      <c r="X4" s="1"/>
    </row>
    <row r="5" spans="1:72" ht="8.25" customHeight="1" x14ac:dyDescent="0.25">
      <c r="B5" s="116"/>
      <c r="C5" s="116"/>
      <c r="D5" s="116"/>
      <c r="E5" s="116"/>
      <c r="F5" s="117"/>
      <c r="G5" s="117"/>
      <c r="H5" s="117"/>
      <c r="I5" s="117"/>
      <c r="J5" s="117"/>
      <c r="K5" s="117"/>
      <c r="L5" s="117"/>
      <c r="M5" s="117"/>
      <c r="N5" s="117"/>
      <c r="O5" s="117"/>
      <c r="P5" s="117"/>
      <c r="Q5" s="117"/>
      <c r="W5" s="6"/>
      <c r="X5" s="6"/>
    </row>
    <row r="6" spans="1:72" ht="15.75" x14ac:dyDescent="0.25">
      <c r="A6" s="471" t="s">
        <v>3</v>
      </c>
      <c r="B6" s="471"/>
      <c r="C6" s="471"/>
      <c r="D6" s="471"/>
      <c r="E6" s="75"/>
      <c r="F6" s="508" t="str">
        <f>[7]IdentificaciónRiesgos!B2</f>
        <v>Servicios - Acreditación de laboratorios</v>
      </c>
      <c r="G6" s="509"/>
      <c r="H6" s="509"/>
      <c r="I6" s="509"/>
      <c r="J6" s="509"/>
      <c r="K6" s="509"/>
      <c r="L6" s="509"/>
      <c r="M6" s="509"/>
      <c r="N6" s="509"/>
      <c r="O6" s="509"/>
      <c r="P6" s="509"/>
      <c r="Q6" s="509"/>
      <c r="R6" s="509"/>
      <c r="S6" s="509"/>
      <c r="T6" s="509"/>
      <c r="U6" s="509"/>
      <c r="V6" s="510"/>
      <c r="W6" s="6"/>
      <c r="X6" s="6"/>
    </row>
    <row r="7" spans="1:72" ht="6.75" customHeight="1" x14ac:dyDescent="0.25">
      <c r="B7" s="116"/>
      <c r="C7" s="116"/>
      <c r="D7" s="116"/>
      <c r="E7" s="116"/>
      <c r="F7" s="121"/>
      <c r="G7" s="121"/>
      <c r="H7" s="121"/>
      <c r="I7" s="121"/>
      <c r="J7" s="121"/>
      <c r="K7" s="121"/>
      <c r="L7" s="121"/>
      <c r="M7" s="121"/>
      <c r="N7" s="121"/>
      <c r="O7" s="121"/>
      <c r="P7" s="121"/>
      <c r="Q7" s="121"/>
      <c r="R7" s="8"/>
      <c r="S7" s="8"/>
      <c r="T7" s="8"/>
      <c r="U7" s="8"/>
      <c r="V7" s="8"/>
      <c r="W7" s="6"/>
      <c r="X7" s="6"/>
    </row>
    <row r="8" spans="1:72" ht="39.75" customHeight="1" x14ac:dyDescent="0.25">
      <c r="A8" s="471" t="s">
        <v>4</v>
      </c>
      <c r="B8" s="471"/>
      <c r="C8" s="471"/>
      <c r="D8" s="471"/>
      <c r="E8" s="75"/>
      <c r="F8" s="488" t="str">
        <f>[8]IdentRiesgo!B3</f>
        <v>Satisfacer las necesidades y expectativas de los usuarios y dar respuesta pertinente, confiable y oportuna de los servicios relacionados con las actividades misionales del Instituto.</v>
      </c>
      <c r="G8" s="489"/>
      <c r="H8" s="489"/>
      <c r="I8" s="489"/>
      <c r="J8" s="489"/>
      <c r="K8" s="489"/>
      <c r="L8" s="489"/>
      <c r="M8" s="489"/>
      <c r="N8" s="489"/>
      <c r="O8" s="489"/>
      <c r="P8" s="489"/>
      <c r="Q8" s="489"/>
      <c r="R8" s="489"/>
      <c r="S8" s="489"/>
      <c r="T8" s="489"/>
      <c r="U8" s="489"/>
      <c r="V8" s="490"/>
      <c r="W8" s="9"/>
      <c r="X8" s="9"/>
    </row>
    <row r="9" spans="1:72" ht="6.75" customHeight="1" x14ac:dyDescent="0.25">
      <c r="B9" s="119"/>
      <c r="C9" s="119"/>
      <c r="D9" s="119"/>
      <c r="E9" s="119"/>
      <c r="F9" s="122"/>
      <c r="G9" s="122"/>
      <c r="H9" s="122"/>
      <c r="I9" s="122"/>
      <c r="J9" s="122"/>
      <c r="K9" s="122"/>
      <c r="L9" s="122"/>
      <c r="M9" s="122"/>
      <c r="N9" s="122"/>
      <c r="O9" s="122"/>
      <c r="P9" s="122"/>
      <c r="Q9" s="122"/>
      <c r="R9" s="8"/>
      <c r="S9" s="8"/>
      <c r="T9" s="8"/>
      <c r="U9" s="8"/>
      <c r="V9" s="8"/>
      <c r="W9" s="6"/>
      <c r="X9" s="6"/>
    </row>
    <row r="10" spans="1:72" ht="15.75" x14ac:dyDescent="0.25">
      <c r="A10" s="471" t="s">
        <v>5</v>
      </c>
      <c r="B10" s="471"/>
      <c r="C10" s="471"/>
      <c r="D10" s="471"/>
      <c r="E10" s="75"/>
      <c r="F10" s="511" t="s">
        <v>187</v>
      </c>
      <c r="G10" s="512"/>
      <c r="H10" s="512"/>
      <c r="I10" s="512"/>
      <c r="J10" s="512"/>
      <c r="K10" s="512"/>
      <c r="L10" s="512"/>
      <c r="M10" s="512"/>
      <c r="N10" s="512"/>
      <c r="O10" s="512"/>
      <c r="P10" s="512"/>
      <c r="Q10" s="512"/>
      <c r="R10" s="512"/>
      <c r="S10" s="512"/>
      <c r="T10" s="512"/>
      <c r="U10" s="512"/>
      <c r="V10" s="513"/>
      <c r="W10" s="12"/>
      <c r="X10" s="12"/>
    </row>
    <row r="11" spans="1:72" ht="5.25" customHeight="1" x14ac:dyDescent="0.25">
      <c r="B11" s="116"/>
      <c r="C11" s="116"/>
      <c r="D11" s="116"/>
      <c r="E11" s="116"/>
      <c r="F11" s="141"/>
      <c r="G11" s="141"/>
      <c r="H11" s="141"/>
      <c r="I11" s="141"/>
      <c r="J11" s="141"/>
      <c r="K11" s="141"/>
      <c r="L11" s="141"/>
      <c r="M11" s="141"/>
      <c r="N11" s="141"/>
      <c r="O11" s="141"/>
      <c r="P11" s="141"/>
      <c r="Q11" s="141"/>
      <c r="R11" s="8"/>
      <c r="S11" s="8"/>
      <c r="T11" s="8"/>
      <c r="U11" s="8"/>
      <c r="V11" s="8"/>
      <c r="W11" s="6"/>
      <c r="X11" s="6"/>
    </row>
    <row r="12" spans="1:72" ht="15.75" x14ac:dyDescent="0.25">
      <c r="A12" s="471" t="s">
        <v>6</v>
      </c>
      <c r="B12" s="471"/>
      <c r="C12" s="471"/>
      <c r="D12" s="471"/>
      <c r="E12" s="75"/>
      <c r="F12" s="503">
        <f ca="1">NOW()</f>
        <v>43130.660336342589</v>
      </c>
      <c r="G12" s="504"/>
      <c r="H12" s="504"/>
      <c r="I12" s="504"/>
      <c r="J12" s="504"/>
      <c r="K12" s="504"/>
      <c r="L12" s="504"/>
      <c r="M12" s="504"/>
      <c r="N12" s="504"/>
      <c r="O12" s="504"/>
      <c r="P12" s="504"/>
      <c r="Q12" s="504"/>
      <c r="R12" s="504"/>
      <c r="S12" s="504"/>
      <c r="T12" s="504"/>
      <c r="U12" s="504"/>
      <c r="V12" s="505"/>
      <c r="W12" s="12"/>
      <c r="X12" s="12"/>
      <c r="AA12" s="115" t="s">
        <v>7</v>
      </c>
    </row>
    <row r="13" spans="1:72" ht="15.75" thickBot="1" x14ac:dyDescent="0.3">
      <c r="B13" s="116"/>
      <c r="C13" s="116"/>
      <c r="D13" s="116"/>
      <c r="E13" s="116"/>
      <c r="F13" s="123"/>
      <c r="G13" s="123"/>
      <c r="H13" s="120"/>
      <c r="I13" s="120"/>
      <c r="J13" s="120"/>
      <c r="K13" s="121"/>
      <c r="L13" s="120"/>
      <c r="M13" s="121"/>
      <c r="N13" s="121"/>
      <c r="O13" s="121"/>
      <c r="P13" s="121"/>
      <c r="Q13" s="121"/>
      <c r="R13" s="121"/>
      <c r="S13" s="120"/>
      <c r="T13" s="121"/>
      <c r="W13" s="6"/>
      <c r="X13" s="6"/>
      <c r="AA13" s="115" t="s">
        <v>8</v>
      </c>
      <c r="AG13" s="475" t="s">
        <v>9</v>
      </c>
      <c r="AH13" s="475"/>
      <c r="AI13" s="475"/>
      <c r="AJ13" s="475"/>
      <c r="AK13" s="475"/>
      <c r="AL13" s="475"/>
      <c r="AM13" s="475"/>
      <c r="AN13" s="475"/>
      <c r="AO13" s="475"/>
      <c r="AP13" s="475"/>
      <c r="AQ13" s="475"/>
      <c r="AR13" s="475"/>
      <c r="AS13" s="475"/>
      <c r="AT13" s="475"/>
      <c r="AU13" s="475"/>
      <c r="AV13" s="475"/>
      <c r="AW13" s="475"/>
      <c r="AX13" s="475"/>
      <c r="AY13" s="475"/>
      <c r="BA13" s="475" t="s">
        <v>10</v>
      </c>
      <c r="BB13" s="475"/>
      <c r="BC13" s="475"/>
      <c r="BD13" s="475"/>
      <c r="BE13" s="475"/>
      <c r="BF13" s="475"/>
      <c r="BG13" s="475"/>
      <c r="BH13" s="475"/>
      <c r="BI13" s="475"/>
      <c r="BJ13" s="475"/>
      <c r="BK13" s="475"/>
      <c r="BL13" s="475"/>
      <c r="BM13" s="475"/>
      <c r="BN13" s="475"/>
      <c r="BO13" s="475"/>
      <c r="BP13" s="475"/>
      <c r="BQ13" s="475"/>
      <c r="BR13" s="475"/>
      <c r="BS13" s="475"/>
      <c r="BT13" s="475"/>
    </row>
    <row r="14" spans="1:72" s="17" customFormat="1" ht="15" customHeight="1" x14ac:dyDescent="0.25">
      <c r="A14" s="476" t="s">
        <v>11</v>
      </c>
      <c r="B14" s="477"/>
      <c r="C14" s="477"/>
      <c r="D14" s="477"/>
      <c r="E14" s="76"/>
      <c r="F14" s="479" t="s">
        <v>12</v>
      </c>
      <c r="G14" s="479"/>
      <c r="H14" s="479"/>
      <c r="I14" s="136"/>
      <c r="J14" s="136"/>
      <c r="K14" s="480" t="s">
        <v>13</v>
      </c>
      <c r="L14" s="476" t="s">
        <v>14</v>
      </c>
      <c r="M14" s="477"/>
      <c r="N14" s="478"/>
      <c r="O14" s="219"/>
      <c r="P14" s="483" t="s">
        <v>15</v>
      </c>
      <c r="Q14" s="483"/>
      <c r="R14" s="483"/>
      <c r="S14" s="483" t="s">
        <v>16</v>
      </c>
      <c r="T14" s="483"/>
      <c r="U14" s="483"/>
      <c r="V14" s="483"/>
    </row>
    <row r="15" spans="1:72" s="17" customFormat="1" ht="14.25" customHeight="1" x14ac:dyDescent="0.25">
      <c r="A15" s="481" t="s">
        <v>17</v>
      </c>
      <c r="B15" s="481" t="s">
        <v>18</v>
      </c>
      <c r="C15" s="220"/>
      <c r="D15" s="220"/>
      <c r="E15" s="220"/>
      <c r="F15" s="461" t="s">
        <v>20</v>
      </c>
      <c r="G15" s="461"/>
      <c r="H15" s="461"/>
      <c r="I15" s="222"/>
      <c r="J15" s="222"/>
      <c r="K15" s="481"/>
      <c r="L15" s="466" t="s">
        <v>21</v>
      </c>
      <c r="M15" s="467"/>
      <c r="N15" s="468"/>
      <c r="O15" s="223"/>
      <c r="P15" s="466" t="s">
        <v>22</v>
      </c>
      <c r="Q15" s="467"/>
      <c r="R15" s="468"/>
      <c r="S15" s="461" t="s">
        <v>23</v>
      </c>
      <c r="T15" s="461" t="s">
        <v>24</v>
      </c>
      <c r="U15" s="466" t="s">
        <v>5</v>
      </c>
      <c r="V15" s="461" t="s">
        <v>25</v>
      </c>
    </row>
    <row r="16" spans="1:72" s="17" customFormat="1" ht="63" customHeight="1" x14ac:dyDescent="0.25">
      <c r="A16" s="484"/>
      <c r="B16" s="484"/>
      <c r="C16" s="221" t="s">
        <v>77</v>
      </c>
      <c r="D16" s="221" t="s">
        <v>19</v>
      </c>
      <c r="E16" s="221" t="s">
        <v>78</v>
      </c>
      <c r="F16" s="222" t="s">
        <v>26</v>
      </c>
      <c r="G16" s="222" t="s">
        <v>77</v>
      </c>
      <c r="H16" s="222" t="s">
        <v>10</v>
      </c>
      <c r="I16" s="222" t="s">
        <v>77</v>
      </c>
      <c r="J16" s="222" t="s">
        <v>27</v>
      </c>
      <c r="K16" s="482"/>
      <c r="L16" s="19" t="s">
        <v>26</v>
      </c>
      <c r="M16" s="19" t="s">
        <v>10</v>
      </c>
      <c r="N16" s="221" t="s">
        <v>27</v>
      </c>
      <c r="O16" s="221" t="s">
        <v>81</v>
      </c>
      <c r="P16" s="222" t="s">
        <v>28</v>
      </c>
      <c r="Q16" s="222" t="s">
        <v>24</v>
      </c>
      <c r="R16" s="222" t="s">
        <v>29</v>
      </c>
      <c r="S16" s="461"/>
      <c r="T16" s="461"/>
      <c r="U16" s="466"/>
      <c r="V16" s="461"/>
    </row>
    <row r="17" spans="1:70" ht="211.5" customHeight="1" x14ac:dyDescent="0.25">
      <c r="A17" s="359" t="s">
        <v>132</v>
      </c>
      <c r="B17" s="166" t="s">
        <v>133</v>
      </c>
      <c r="C17" s="359" t="s">
        <v>134</v>
      </c>
      <c r="D17" s="359" t="s">
        <v>135</v>
      </c>
      <c r="E17" s="354" t="s">
        <v>89</v>
      </c>
      <c r="F17" s="355">
        <v>4</v>
      </c>
      <c r="G17" s="355" t="s">
        <v>86</v>
      </c>
      <c r="H17" s="356">
        <v>20</v>
      </c>
      <c r="I17" s="356" t="s">
        <v>92</v>
      </c>
      <c r="J17" s="357" t="s">
        <v>45</v>
      </c>
      <c r="K17" s="165" t="s">
        <v>136</v>
      </c>
      <c r="L17" s="514" t="s">
        <v>10</v>
      </c>
      <c r="M17" s="515"/>
      <c r="N17" s="357" t="s">
        <v>45</v>
      </c>
      <c r="O17" s="349" t="s">
        <v>85</v>
      </c>
      <c r="P17" s="358" t="s">
        <v>137</v>
      </c>
      <c r="Q17" s="164" t="s">
        <v>138</v>
      </c>
      <c r="R17" s="415" t="s">
        <v>208</v>
      </c>
      <c r="S17" s="416"/>
      <c r="T17" s="299"/>
      <c r="U17" s="361" t="s">
        <v>249</v>
      </c>
      <c r="V17" s="247" t="s">
        <v>250</v>
      </c>
      <c r="X17" s="125" t="str">
        <f>IF(AND(F17=1,H17=5),$H$25,IF(AND(F17=1,H17=10),$J$25,IF(AND(F17=1,H17=20),$K$25," ")))</f>
        <v xml:space="preserve"> </v>
      </c>
      <c r="Y17" s="125" t="str">
        <f>IF(AND(F17=2,H17=5),$H$26,IF(AND(F17=2,H17=10),$J$26,IF(AND(F17=2,H17=20),$K$26," ")))</f>
        <v xml:space="preserve"> </v>
      </c>
      <c r="Z17" s="125" t="str">
        <f>IF(AND(F17=3,H17=5),$H$27,IF(AND(F17=3,H17=10),$J$27,IF(AND(F17=3,H17=20),$K$27," ")))</f>
        <v xml:space="preserve"> </v>
      </c>
      <c r="AA17" s="125" t="str">
        <f>IF(AND(F17=4,H17=5),$H$28,IF(AND(F17=4,H17=10),$J$28,IF(AND(F17=4,H17=20),$K$28," ")))</f>
        <v>E</v>
      </c>
      <c r="AB17" s="125" t="str">
        <f>IF(AND(F17=5,H17=5),$H$29,IF(AND(F17=5,H17=10),$J$29,IF(AND(F17=5,H17=20),$K$29," ")))</f>
        <v xml:space="preserve"> </v>
      </c>
      <c r="AD17" s="27" t="s">
        <v>31</v>
      </c>
      <c r="AE17" s="125" t="str">
        <f>IF(AND(L17&gt;0,[8]EvaluaciónRiesgoCorrup!$F$11&gt;75,F17=1,H17=5),$H$25,IF(AND(L17&gt;0,[8]EvaluaciónRiesgoCorrup!$F$11&gt;75,F17=1,H17=10),$J$25,IF(AND(L17&gt;0,[8]EvaluaciónRiesgoCorrup!$F$11&gt;75,F17=1,H17=20),$K$25," ")))</f>
        <v xml:space="preserve"> </v>
      </c>
      <c r="AF17" s="125" t="str">
        <f>IF(AND(L17&gt;0,[8]EvaluaciónRiesgoCorrup!$F$11&gt;75,F17=2,H17=5),$H$25,IF(AND(L17&gt;0,[8]EvaluaciónRiesgoCorrup!$F$11&gt;75,F17=2,H17=10),$J$25,IF(AND(L17&gt;0,[8]EvaluaciónRiesgoCorrup!$F$11&gt;75,F17=2,H17=20),$K$25," ")))</f>
        <v xml:space="preserve"> </v>
      </c>
      <c r="AG17" s="125" t="str">
        <f>IF(AND(L17&gt;0,[8]EvaluaciónRiesgoCorrup!$F$11&gt;75,F17=3,H17=5),$H$25,IF(AND(L17&gt;0,[8]EvaluaciónRiesgoCorrup!$F$11&gt;75,F17=3,H17=10),$J$25,IF(AND(L17&gt;0,[8]EvaluaciónRiesgoCorrup!$F$11&gt;75,F17=3,H17=20),$K$25," ")))</f>
        <v xml:space="preserve"> </v>
      </c>
      <c r="AH17" s="125" t="str">
        <f>IF(AND(L17&gt;0,[8]EvaluaciónRiesgoCorrup!$F$11&gt;75,F17=4,H17=5),$H$26,IF(AND(L17&gt;0,[8]EvaluaciónRiesgoCorrup!$F$11&gt;75,F17=4,H17=10),$J$26,IF(AND(L17&gt;0,[8]EvaluaciónRiesgoCorrup!$F$11&gt;75,F17=4,H17=20),$K$26," ")))</f>
        <v>A</v>
      </c>
      <c r="AI17" s="125" t="str">
        <f>IF(AND(L17&gt;0,[8]EvaluaciónRiesgoCorrup!$F$11&gt;75,F17=5,H17=5),$H$27,IF(AND(L17&gt;0,[8]EvaluaciónRiesgoCorrup!$F$11&gt;75,F17=5,H17=10),$J$27,IF(AND(L17&gt;0,[8]EvaluaciónRiesgoCorrup!$F$11&gt;75,F17=5,H17=20),$K$27," ")))</f>
        <v xml:space="preserve"> </v>
      </c>
      <c r="AJ17" s="27" t="s">
        <v>32</v>
      </c>
      <c r="AK17" s="125" t="str">
        <f>IF(AND(L17&gt;0,[8]EvaluaciónRiesgoCorrup!$F$11&gt;50,[8]EvaluaciónRiesgoCorrup!$F$11&lt;76,F17=1,H17=5),$H$25,IF(AND(L17&gt;0,[8]EvaluaciónRiesgoCorrup!$F$11&gt;50,[8]EvaluaciónRiesgoCorrup!$F$11&lt;76,F17=1,H17=10),$J$25,IF(AND(L17&gt;0,[8]EvaluaciónRiesgoCorrup!$F$11&gt;50,[8]EvaluaciónRiesgoCorrup!$F$11&lt;76,F17=1,H17=20),$K$25," ")))</f>
        <v xml:space="preserve"> </v>
      </c>
      <c r="AL17" s="125" t="str">
        <f>IF(AND(L17&gt;0,[8]EvaluaciónRiesgoCorrup!$F$11&gt;50,[8]EvaluaciónRiesgoCorrup!$F$11&lt;76,F17=2,H17=5),$H$25,IF(AND(L17&gt;0,[8]EvaluaciónRiesgoCorrup!$F$11&gt;50,[8]EvaluaciónRiesgoCorrup!$F$11&lt;76,F17=2,H17=10),$J$25,IF(AND(L17&gt;0,[8]EvaluaciónRiesgoCorrup!$F$11&gt;50,[8]EvaluaciónRiesgoCorrup!$F$11&lt;76,F17=2,H17=20),$K$25," ")))</f>
        <v xml:space="preserve"> </v>
      </c>
      <c r="AM17" s="125" t="str">
        <f>IF(AND(L17&gt;0,[8]EvaluaciónRiesgoCorrup!$F$11&gt;50,[8]EvaluaciónRiesgoCorrup!$F$11&lt;76,F17=3,H17=5),$H$26,IF(AND(L17&gt;0,[8]EvaluaciónRiesgoCorrup!$F$11&gt;50,[8]EvaluaciónRiesgoCorrup!$F$11&lt;76,F17=3,H17=10),$J$26,IF(AND(L17&gt;0,[8]EvaluaciónRiesgoCorrup!$F$11&gt;50,[8]EvaluaciónRiesgoCorrup!$F$11&lt;76,F17=3,H17=20),$K$26," ")))</f>
        <v xml:space="preserve"> </v>
      </c>
      <c r="AN17" s="125" t="str">
        <f>IF(AND(L17&gt;0,[8]EvaluaciónRiesgoCorrup!$F$11&gt;50,[8]EvaluaciónRiesgoCorrup!$F$11&lt;76,F17=4,H17=5),$H$27,IF(AND(L17&gt;0,[8]EvaluaciónRiesgoCorrup!$F$11&gt;50,[8]EvaluaciónRiesgoCorrup!$F$11&lt;76,F17=4,H17=10),$J$27,IF(AND(L17&gt;0,[8]EvaluaciónRiesgoCorrup!$F$11&gt;50,[8]EvaluaciónRiesgoCorrup!$F$11&lt;76,F17=4,H17=20),$K$27," ")))</f>
        <v xml:space="preserve"> </v>
      </c>
      <c r="AO17" s="125" t="str">
        <f>IF(AND(L17&gt;0,[8]EvaluaciónRiesgoCorrup!$F$11&gt;50,[8]EvaluaciónRiesgoCorrup!$F$11&lt;76,F17=5,H17=5),$H$28,IF(AND(L17&gt;0,[8]EvaluaciónRiesgoCorrup!$F$11&gt;50,[8]EvaluaciónRiesgoCorrup!$F$11&lt;76,F17=5,H17=10),$J$28,IF(AND(L17&gt;0,[8]EvaluaciónRiesgoCorrup!$F$11&gt;50,[8]EvaluaciónRiesgoCorrup!$F$11&lt;76,F17=5,H17=20),$K$28," ")))</f>
        <v xml:space="preserve"> </v>
      </c>
      <c r="AQ17" s="27" t="s">
        <v>33</v>
      </c>
      <c r="AR17" s="125" t="str">
        <f>IF(AND(L17&gt;0,[8]EvaluaciónRiesgoCorrup!$F$11&lt;51,F17=1,H17=5),$H$25,IF(AND(L17&gt;0,[8]EvaluaciónRiesgoCorrup!$F$11&lt;51,F17=1,H17=10),$J$25,IF(AND(L17&gt;0,[8]EvaluaciónRiesgoCorrup!$F$11&lt;51,F17=1,H17=20),K$25," ")))</f>
        <v xml:space="preserve"> </v>
      </c>
      <c r="AS17" s="125" t="str">
        <f>IF(AND(L17&gt;0,[8]EvaluaciónRiesgoCorrup!$F$11&lt;51,F17=2,H17=5),$H$26,IF(AND(L17&gt;0,[8]EvaluaciónRiesgoCorrup!$F$11&lt;51,F17=2,H17=10),$J$26,IF(AND(L17&gt;0,[8]EvaluaciónRiesgoCorrup!$F$11&lt;51,F17=2,H17=20),K$26," ")))</f>
        <v xml:space="preserve"> </v>
      </c>
      <c r="AT17" s="125" t="str">
        <f>IF(AND(L17&gt;0,[8]EvaluaciónRiesgoCorrup!$F$11&lt;51,F17=3,H17=5),$H$27,IF(AND(L17&gt;0,[8]EvaluaciónRiesgoCorrup!$F$11&lt;51,F17=3,H17=10),$J$27,IF(AND(L17&gt;0,[8]EvaluaciónRiesgoCorrup!$F$11&lt;51,F17=3,H17=20),K$27," ")))</f>
        <v xml:space="preserve"> </v>
      </c>
      <c r="AU17" s="125" t="str">
        <f>IF(AND(L17&gt;0,[8]EvaluaciónRiesgoCorrup!$F$11&lt;51,F17=4,H17=5),$H$28,IF(AND(L17&gt;0,[8]EvaluaciónRiesgoCorrup!$F$11&lt;51,F17=4,H17=10),$J$28,IF(AND(L17&gt;0,[8]EvaluaciónRiesgoCorrup!$F$11&lt;51,F17=4,H17=20),K$28," ")))</f>
        <v xml:space="preserve"> </v>
      </c>
      <c r="AV17" s="125" t="str">
        <f>IF(AND(L17&gt;0,[8]EvaluaciónRiesgoCorrup!$F$11&lt;51,F17=5,H17=5),$H$29,IF(AND(L17&gt;0,[8]EvaluaciónRiesgoCorrup!$F$11&lt;51,F17=5,H17=10),$J$29,IF(AND(L17&gt;0,[8]EvaluaciónRiesgoCorrup!$F$11&lt;51,F17=5,H17=20),K$29," ")))</f>
        <v xml:space="preserve"> </v>
      </c>
      <c r="AY17" s="27" t="s">
        <v>31</v>
      </c>
      <c r="AZ17" s="125" t="str">
        <f>IF(AND(M17&gt;0,[8]EvaluaciónRiesgoCorrup!$F$11&gt;75,F17=1,H17=5),$H$25,IF(AND(M17&gt;0,[8]EvaluaciónRiesgoCorrup!$F$11&gt;75,F17=1,H17=10),$H$25,IF(AND(M17&gt;0,[8]EvaluaciónRiesgoCorrup!$F$11&gt;75,F17=1,H17=20),$H$25," ")))</f>
        <v xml:space="preserve"> </v>
      </c>
      <c r="BA17" s="125" t="str">
        <f>IF(AND(M17&gt;0,[8]EvaluaciónRiesgoCorrup!$F$11&gt;75,F17=2,H17=5),$H$26,IF(AND(M17&gt;0,[8]EvaluaciónRiesgoCorrup!$F$11&gt;75,F17=2,H17=10),$H$26,IF(AND(M17&gt;0,[8]EvaluaciónRiesgoCorrup!$F$11&gt;75,F17=2,H17=20),$H$26," ")))</f>
        <v xml:space="preserve"> </v>
      </c>
      <c r="BB17" s="125" t="str">
        <f>IF(AND(M17&gt;0,[8]EvaluaciónRiesgoCorrup!$F$11&gt;75,F17=3,H17=5),$H$27,IF(AND(M17&gt;0,[8]EvaluaciónRiesgoCorrup!$F$11&gt;75,F17=3,H17=10),$H$27,IF(AND(M17&gt;0,[8]EvaluaciónRiesgoCorrup!$F$11&gt;75,F17=3,H17=20),$H$27," ")))</f>
        <v xml:space="preserve"> </v>
      </c>
      <c r="BC17" s="125" t="str">
        <f>IF(AND(M17&gt;0,[8]EvaluaciónRiesgoCorrup!$F$11&gt;75,F17=4,H17=5),$H$28,IF(AND(M17&gt;0,[8]EvaluaciónRiesgoCorrup!$F$11&gt;75,F17=4,H17=10),$H$28,IF(AND(M17&gt;0,[8]EvaluaciónRiesgoCorrup!$F$11&gt;75,F17=4,H17=20),$H$28," ")))</f>
        <v xml:space="preserve"> </v>
      </c>
      <c r="BD17" s="125" t="str">
        <f>IF(AND(M17&gt;0,[8]EvaluaciónRiesgoCorrup!$F$11&gt;75,F17=5,H17=5),$H$29,IF(AND(M17&gt;0,[8]EvaluaciónRiesgoCorrup!$F$11&gt;75,F17=5,H17=10),$H$29,IF(AND(M17&gt;0,[8]EvaluaciónRiesgoCorrup!$F$11&gt;75,F17=5,H17=20),$H$29," ")))</f>
        <v xml:space="preserve"> </v>
      </c>
      <c r="BF17" s="27" t="s">
        <v>32</v>
      </c>
      <c r="BG17" s="125" t="str">
        <f>IF(AND(M17&gt;0,[8]EvaluaciónRiesgoCorrup!$F$11&gt;50,[8]EvaluaciónRiesgoCorrup!$F$11&lt;76,F17=1,H17=5),$H$25,IF(AND(M17&gt;0,[8]EvaluaciónRiesgoCorrup!$F$11&gt;50,[8]EvaluaciónRiesgoCorrup!$F$11&lt;76,F17=1,H17=10),$H$25,IF(AND(M17&gt;0,[8]EvaluaciónRiesgoCorrup!$F$11&gt;50,[8]EvaluaciónRiesgoCorrup!$F$11&lt;76,F17=1,H17=20),$J$25," ")))</f>
        <v xml:space="preserve"> </v>
      </c>
      <c r="BH17" s="125" t="str">
        <f>IF(AND(M17&gt;0,[8]EvaluaciónRiesgoCorrup!$F$11&gt;50,[8]EvaluaciónRiesgoCorrup!$F$11&lt;76,F17=2,H17=5),$H$26,IF(AND(M17&gt;0,[8]EvaluaciónRiesgoCorrup!$F$11&gt;50,[8]EvaluaciónRiesgoCorrup!$F$11&lt;76,F17=2,H17=10),$H$26,IF(AND(M17&gt;0,[8]EvaluaciónRiesgoCorrup!$F$11&gt;50,[8]EvaluaciónRiesgoCorrup!$F$11&lt;76,F17=2,H17=20),$J$26," ")))</f>
        <v xml:space="preserve"> </v>
      </c>
      <c r="BI17" s="125" t="str">
        <f>IF(AND(M17&gt;0,[8]EvaluaciónRiesgoCorrup!$F$11&gt;50,[8]EvaluaciónRiesgoCorrup!$F$11&lt;76,F17=3,H17=5),$H$27,IF(AND(M17&gt;0,[8]EvaluaciónRiesgoCorrup!$F$11&gt;50,[8]EvaluaciónRiesgoCorrup!$F$11&lt;76,F17=3,H17=10),$H$27,IF(AND(M17&gt;0,[8]EvaluaciónRiesgoCorrup!$F$11&gt;50,[8]EvaluaciónRiesgoCorrup!$F$11&lt;76,F17=3,H17=20),$J$27," ")))</f>
        <v xml:space="preserve"> </v>
      </c>
      <c r="BJ17" s="125" t="str">
        <f>IF(AND(M17&gt;0,[8]EvaluaciónRiesgoCorrup!$F$11&gt;50,[8]EvaluaciónRiesgoCorrup!$F$11&lt;76,F17=4,H17=5),$H$28,IF(AND(M17&gt;0,[8]EvaluaciónRiesgoCorrup!$F$11&gt;50,[8]EvaluaciónRiesgoCorrup!$F$11&lt;76,F17=4,H17=10),$H$28,IF(AND(M17&gt;0,[8]EvaluaciónRiesgoCorrup!$F$11&gt;50,[8]EvaluaciónRiesgoCorrup!$F$11&lt;76,F17=4,H17=20),$J$28," ")))</f>
        <v xml:space="preserve"> </v>
      </c>
      <c r="BK17" s="125" t="str">
        <f>IF(AND(M17&gt;0,[8]EvaluaciónRiesgoCorrup!$F$11&gt;50,[8]EvaluaciónRiesgoCorrup!$F$11&lt;76,F17=5,H17=5),$H$29,IF(AND(M17&gt;0,[8]EvaluaciónRiesgoCorrup!$F$11&gt;50,[8]EvaluaciónRiesgoCorrup!$F$11&lt;76,F17=5,H17=10),$H$29,IF(AND(M17&gt;0,[8]EvaluaciónRiesgoCorrup!$F$11&gt;50,[8]EvaluaciónRiesgoCorrup!$F$11&lt;76,F17=5,H17=20),$J$29," ")))</f>
        <v xml:space="preserve"> </v>
      </c>
      <c r="BM17" s="27" t="s">
        <v>33</v>
      </c>
      <c r="BN17" s="125" t="str">
        <f>IF(AND(M17&gt;0,[8]EvaluaciónRiesgoCorrup!$F$11&lt;51,F17=1,H17=5),$H$25,IF(AND(M17&gt;0,[8]EvaluaciónRiesgoCorrup!$F$11&lt;51,F17=1,H17=10),$J$25,IF(AND(M17&gt;0,[8]EvaluaciónRiesgoCorrup!$F$11&lt;51,F17=1,H17=20),$K$25," ")))</f>
        <v xml:space="preserve"> </v>
      </c>
      <c r="BO17" s="125" t="str">
        <f>IF(AND(M17&gt;0,[8]EvaluaciónRiesgoCorrup!$F$11&lt;51,F17=2,H17=5),$H$26,IF(AND(M17&gt;0,[8]EvaluaciónRiesgoCorrup!$F$11&lt;51,F17=2,H17=10),$J$26,IF(AND(M17&gt;0,[8]EvaluaciónRiesgoCorrup!$F$11&lt;51,F17=2,H17=20),$K$26," ")))</f>
        <v xml:space="preserve"> </v>
      </c>
      <c r="BP17" s="125" t="str">
        <f>IF(AND(M17&gt;0,[8]EvaluaciónRiesgoCorrup!$F$11&lt;51,F17=3,H17=5),$H$27,IF(AND(M17&gt;0,[8]EvaluaciónRiesgoCorrup!$F$11&lt;51,F17=3,H17=10),$J$27,IF(AND(M17&gt;0,[8]EvaluaciónRiesgoCorrup!$F$11&lt;51,F17=3,H17=20),$K$27," ")))</f>
        <v xml:space="preserve"> </v>
      </c>
      <c r="BQ17" s="125" t="str">
        <f>IF(AND(M17&gt;0,[8]EvaluaciónRiesgoCorrup!$F$11&lt;51,F17=4,H17=5),$H$28,IF(AND(M17&gt;0,[8]EvaluaciónRiesgoCorrup!$F$11&lt;51,F17=4,H17=10),$J$28,IF(AND(M17&gt;0,[8]EvaluaciónRiesgoCorrup!$F$11&lt;51,F17=4,H17=20),$K$28," ")))</f>
        <v xml:space="preserve"> </v>
      </c>
      <c r="BR17" s="125" t="str">
        <f>IF(AND(M17&gt;0,[8]EvaluaciónRiesgoCorrup!$F$11&lt;51,F17=5,H17=5),$H$29,IF(AND(M17&gt;0,[8]EvaluaciónRiesgoCorrup!$F$11&lt;51,F17=5,H17=10),$J$29,IF(AND(M17&gt;0,[8]EvaluaciónRiesgoCorrup!$F$11&lt;51,F17=5,H17=20),$K$29," ")))</f>
        <v xml:space="preserve"> </v>
      </c>
    </row>
    <row r="18" spans="1:70" ht="396" customHeight="1" x14ac:dyDescent="0.25">
      <c r="A18" s="350" t="s">
        <v>139</v>
      </c>
      <c r="B18" s="154" t="s">
        <v>140</v>
      </c>
      <c r="C18" s="354" t="s">
        <v>141</v>
      </c>
      <c r="D18" s="354" t="s">
        <v>142</v>
      </c>
      <c r="E18" s="354" t="s">
        <v>89</v>
      </c>
      <c r="F18" s="355">
        <v>4</v>
      </c>
      <c r="G18" s="355" t="s">
        <v>86</v>
      </c>
      <c r="H18" s="356">
        <v>20</v>
      </c>
      <c r="I18" s="356" t="s">
        <v>92</v>
      </c>
      <c r="J18" s="357" t="s">
        <v>45</v>
      </c>
      <c r="K18" s="155" t="s">
        <v>143</v>
      </c>
      <c r="L18" s="514" t="s">
        <v>10</v>
      </c>
      <c r="M18" s="515"/>
      <c r="N18" s="357" t="s">
        <v>41</v>
      </c>
      <c r="O18" s="349" t="s">
        <v>85</v>
      </c>
      <c r="P18" s="358" t="s">
        <v>137</v>
      </c>
      <c r="Q18" s="156" t="s">
        <v>144</v>
      </c>
      <c r="R18" s="415" t="s">
        <v>209</v>
      </c>
      <c r="S18" s="416"/>
      <c r="T18" s="299"/>
      <c r="U18" s="361" t="s">
        <v>249</v>
      </c>
      <c r="V18" s="353" t="s">
        <v>251</v>
      </c>
      <c r="X18" s="125" t="str">
        <f>IF(AND(F18=1,H18=5),$H$25,IF(AND(F18=1,H18=10),$J$25,IF(AND(F18=1,H18=20),$K$25," ")))</f>
        <v xml:space="preserve"> </v>
      </c>
      <c r="Y18" s="125" t="str">
        <f>IF(AND(F18=2,H18=5),$H$26,IF(AND(F18=2,H18=10),$J$26,IF(AND(F18=2,H18=20),$K$26," ")))</f>
        <v xml:space="preserve"> </v>
      </c>
      <c r="Z18" s="125" t="str">
        <f>IF(AND(F18=3,H18=5),$H$27,IF(AND(F18=3,H18=10),$J$27,IF(AND(F18=3,H18=20),$K$27," ")))</f>
        <v xml:space="preserve"> </v>
      </c>
      <c r="AA18" s="125" t="str">
        <f>IF(AND(F18=4,H18=5),$H$28,IF(AND(F18=4,H18=10),$J$28,IF(AND(F18=4,H18=20),$K$28," ")))</f>
        <v>E</v>
      </c>
      <c r="AB18" s="125" t="str">
        <f>IF(AND(F18=5,H18=5),$H$29,IF(AND(F18=5,H18=10),$J$29,IF(AND(F18=5,H18=20),$K$29," ")))</f>
        <v xml:space="preserve"> </v>
      </c>
      <c r="AE18" s="125" t="str">
        <f>IF(AND(L18&gt;0,[8]EvaluaciónRiesgoCorrup!$F$11&gt;75,F18=1,H18=5),$H$25,IF(AND(L18&gt;0,[8]EvaluaciónRiesgoCorrup!$F$11&gt;75,F18=1,H18=10),$J$25,IF(AND(L18&gt;0,[8]EvaluaciónRiesgoCorrup!$F$11&gt;75,F18=1,H18=20),$K$25," ")))</f>
        <v xml:space="preserve"> </v>
      </c>
      <c r="AF18" s="125" t="str">
        <f>IF(AND(L18&gt;0,[8]EvaluaciónRiesgoCorrup!$F$11&gt;75,F18=2,H18=5),$H$25,IF(AND(L18&gt;0,[8]EvaluaciónRiesgoCorrup!$F$11&gt;75,F18=2,H18=10),$J$25,IF(AND(L18&gt;0,[8]EvaluaciónRiesgoCorrup!$F$11&gt;75,F18=2,H18=20),$K$25," ")))</f>
        <v xml:space="preserve"> </v>
      </c>
      <c r="AG18" s="125" t="str">
        <f>IF(AND(L18&gt;0,[8]EvaluaciónRiesgoCorrup!$F$11&gt;75,F18=3,H18=5),$H$25,IF(AND(L18&gt;0,[8]EvaluaciónRiesgoCorrup!$F$11&gt;75,F18=3,H18=10),$J$25,IF(AND(L18&gt;0,[8]EvaluaciónRiesgoCorrup!$F$11&gt;75,F18=3,H18=20),$K$25," ")))</f>
        <v xml:space="preserve"> </v>
      </c>
      <c r="AH18" s="125" t="str">
        <f>IF(AND(L18&gt;0,[8]EvaluaciónRiesgoCorrup!$F$11&gt;75,F18=4,H18=5),$H$26,IF(AND(L18&gt;0,[8]EvaluaciónRiesgoCorrup!$F$11&gt;75,F18=4,H18=10),$J$26,IF(AND(L18&gt;0,[8]EvaluaciónRiesgoCorrup!$F$11&gt;75,F18=4,H18=20),$K$26," ")))</f>
        <v>A</v>
      </c>
      <c r="AI18" s="125" t="str">
        <f>IF(AND(L18&gt;0,[8]EvaluaciónRiesgoCorrup!$F$11&gt;75,F18=5,H18=5),$H$27,IF(AND(L18&gt;0,[8]EvaluaciónRiesgoCorrup!$F$11&gt;75,F18=5,H18=10),$J$27,IF(AND(L18&gt;0,[8]EvaluaciónRiesgoCorrup!$F$11&gt;75,F18=5,H18=20),$K$27," ")))</f>
        <v xml:space="preserve"> </v>
      </c>
      <c r="AK18" s="125" t="str">
        <f>IF(AND(L18&gt;0,[8]EvaluaciónRiesgoCorrup!$F$11&gt;50,[8]EvaluaciónRiesgoCorrup!$F$11&lt;76,F18=1,H18=5),$H$25,IF(AND(L18&gt;0,[8]EvaluaciónRiesgoCorrup!$F$11&gt;50,[8]EvaluaciónRiesgoCorrup!$F$11&lt;76,F18=1,H18=10),$J$25,IF(AND(L18&gt;0,[8]EvaluaciónRiesgoCorrup!$F$11&gt;50,[8]EvaluaciónRiesgoCorrup!$F$11&lt;76,F18=1,H18=20),$K$25," ")))</f>
        <v xml:space="preserve"> </v>
      </c>
      <c r="AL18" s="125" t="str">
        <f>IF(AND(L18&gt;0,[8]EvaluaciónRiesgoCorrup!$F$11&gt;50,[8]EvaluaciónRiesgoCorrup!$F$11&lt;76,F18=2,H18=5),$H$25,IF(AND(L18&gt;0,[8]EvaluaciónRiesgoCorrup!$F$11&gt;50,[8]EvaluaciónRiesgoCorrup!$F$11&lt;76,F18=2,H18=10),$J$25,IF(AND(L18&gt;0,[8]EvaluaciónRiesgoCorrup!$F$11&gt;50,[8]EvaluaciónRiesgoCorrup!$F$11&lt;76,F18=2,H18=20),$K$25," ")))</f>
        <v xml:space="preserve"> </v>
      </c>
      <c r="AM18" s="125" t="str">
        <f>IF(AND(L18&gt;0,[8]EvaluaciónRiesgoCorrup!$F$11&gt;50,[8]EvaluaciónRiesgoCorrup!$F$11&lt;76,F18=3,H18=5),$H$26,IF(AND(L18&gt;0,[8]EvaluaciónRiesgoCorrup!$F$11&gt;50,[8]EvaluaciónRiesgoCorrup!$F$11&lt;76,F18=3,H18=10),$J$26,IF(AND(L18&gt;0,[8]EvaluaciónRiesgoCorrup!$F$11&gt;50,[8]EvaluaciónRiesgoCorrup!$F$11&lt;76,F18=3,H18=20),$K$26," ")))</f>
        <v xml:space="preserve"> </v>
      </c>
      <c r="AN18" s="125" t="str">
        <f>IF(AND(L18&gt;0,[8]EvaluaciónRiesgoCorrup!$F$11&gt;50,[8]EvaluaciónRiesgoCorrup!$F$11&lt;76,F18=4,H18=5),$H$27,IF(AND(L18&gt;0,[8]EvaluaciónRiesgoCorrup!$F$11&gt;50,[8]EvaluaciónRiesgoCorrup!$F$11&lt;76,F18=4,H18=10),$J$27,IF(AND(L18&gt;0,[8]EvaluaciónRiesgoCorrup!$F$11&gt;50,[8]EvaluaciónRiesgoCorrup!$F$11&lt;76,F18=4,H18=20),$K$27," ")))</f>
        <v xml:space="preserve"> </v>
      </c>
      <c r="AO18" s="125" t="str">
        <f>IF(AND(L18&gt;0,[8]EvaluaciónRiesgoCorrup!$F$11&gt;50,[8]EvaluaciónRiesgoCorrup!$F$11&lt;76,F18=5,H18=5),$H$28,IF(AND(L18&gt;0,[8]EvaluaciónRiesgoCorrup!$F$11&gt;50,[8]EvaluaciónRiesgoCorrup!$F$11&lt;76,F18=5,H18=10),$J$28,IF(AND(L18&gt;0,[8]EvaluaciónRiesgoCorrup!$F$11&gt;50,[8]EvaluaciónRiesgoCorrup!$F$11&lt;76,F18=5,H18=20),$K$28," ")))</f>
        <v xml:space="preserve"> </v>
      </c>
      <c r="AR18" s="125" t="str">
        <f>IF(AND(L18&gt;0,[8]EvaluaciónRiesgoCorrup!$F$11&lt;51,F18=1,H18=5),$H$25,IF(AND(L18&gt;0,[8]EvaluaciónRiesgoCorrup!$F$11&lt;51,F18=1,H18=10),$J$25,IF(AND(L18&gt;0,[8]EvaluaciónRiesgoCorrup!$F$11&lt;51,F18=1,H18=20),K$25," ")))</f>
        <v xml:space="preserve"> </v>
      </c>
      <c r="AS18" s="125" t="str">
        <f>IF(AND(L18&gt;0,[8]EvaluaciónRiesgoCorrup!$F$11&lt;51,F18=2,H18=5),$H$26,IF(AND(L18&gt;0,[8]EvaluaciónRiesgoCorrup!$F$11&lt;51,F18=2,H18=10),$J$26,IF(AND(L18&gt;0,[8]EvaluaciónRiesgoCorrup!$F$11&lt;51,F18=2,H18=20),K$26," ")))</f>
        <v xml:space="preserve"> </v>
      </c>
      <c r="AT18" s="125" t="str">
        <f>IF(AND(L18&gt;0,[8]EvaluaciónRiesgoCorrup!$F$11&lt;51,F18=3,H18=5),$H$27,IF(AND(L18&gt;0,[8]EvaluaciónRiesgoCorrup!$F$11&lt;51,F18=3,H18=10),$J$27,IF(AND(L18&gt;0,[8]EvaluaciónRiesgoCorrup!$F$11&lt;51,F18=3,H18=20),K$27," ")))</f>
        <v xml:space="preserve"> </v>
      </c>
      <c r="AU18" s="125" t="str">
        <f>IF(AND(L18&gt;0,[8]EvaluaciónRiesgoCorrup!$F$11&lt;51,F18=4,H18=5),$H$28,IF(AND(L18&gt;0,[8]EvaluaciónRiesgoCorrup!$F$11&lt;51,F18=4,H18=10),$J$28,IF(AND(L18&gt;0,[8]EvaluaciónRiesgoCorrup!$F$11&lt;51,F18=4,H18=20),K$28," ")))</f>
        <v xml:space="preserve"> </v>
      </c>
      <c r="AV18" s="125" t="str">
        <f>IF(AND(L18&gt;0,[8]EvaluaciónRiesgoCorrup!$F$11&lt;51,F18=5,H18=5),$H$29,IF(AND(L18&gt;0,[8]EvaluaciónRiesgoCorrup!$F$11&lt;51,F18=5,H18=10),$J$29,IF(AND(L18&gt;0,[8]EvaluaciónRiesgoCorrup!$F$11&lt;51,F18=5,H18=20),K$29," ")))</f>
        <v xml:space="preserve"> </v>
      </c>
      <c r="AZ18" s="125" t="str">
        <f>IF(AND(M18&gt;0,[8]EvaluaciónRiesgoCorrup!$F$11&gt;75,F18=1,H18=5),$H$25,IF(AND(M18&gt;0,[8]EvaluaciónRiesgoCorrup!$F$11&gt;75,F18=1,H18=10),$H$25,IF(AND(M18&gt;0,[8]EvaluaciónRiesgoCorrup!$F$11&gt;75,F18=1,H18=20),$H$25," ")))</f>
        <v xml:space="preserve"> </v>
      </c>
      <c r="BA18" s="125" t="str">
        <f>IF(AND(M18&gt;0,[8]EvaluaciónRiesgoCorrup!$F$11&gt;75,F18=2,H18=5),$H$26,IF(AND(M18&gt;0,[8]EvaluaciónRiesgoCorrup!$F$11&gt;75,F18=2,H18=10),$H$26,IF(AND(M18&gt;0,[8]EvaluaciónRiesgoCorrup!$F$11&gt;75,F18=2,H18=20),$H$26," ")))</f>
        <v xml:space="preserve"> </v>
      </c>
      <c r="BB18" s="125" t="str">
        <f>IF(AND(M18&gt;0,[8]EvaluaciónRiesgoCorrup!$F$11&gt;75,F18=3,H18=5),$H$27,IF(AND(M18&gt;0,[8]EvaluaciónRiesgoCorrup!$F$11&gt;75,F18=3,H18=10),$H$27,IF(AND(M18&gt;0,[8]EvaluaciónRiesgoCorrup!$F$11&gt;75,F18=3,H18=20),$H$27," ")))</f>
        <v xml:space="preserve"> </v>
      </c>
      <c r="BC18" s="125" t="str">
        <f>IF(AND(M18&gt;0,[8]EvaluaciónRiesgoCorrup!$F$11&gt;75,F18=4,H18=5),$H$28,IF(AND(M18&gt;0,[8]EvaluaciónRiesgoCorrup!$F$11&gt;75,F18=4,H18=10),$H$28,IF(AND(M18&gt;0,[8]EvaluaciónRiesgoCorrup!$F$11&gt;75,F18=4,H18=20),$H$28," ")))</f>
        <v xml:space="preserve"> </v>
      </c>
      <c r="BD18" s="125" t="str">
        <f>IF(AND(M18&gt;0,[8]EvaluaciónRiesgoCorrup!$F$11&gt;75,F18=5,H18=5),$H$29,IF(AND(M18&gt;0,[8]EvaluaciónRiesgoCorrup!$F$11&gt;75,F18=5,H18=10),$H$29,IF(AND(M18&gt;0,[8]EvaluaciónRiesgoCorrup!$F$11&gt;75,F18=5,H18=20),$H$29," ")))</f>
        <v xml:space="preserve"> </v>
      </c>
      <c r="BG18" s="125" t="str">
        <f>IF(AND(M18&gt;0,[8]EvaluaciónRiesgoCorrup!$F$11&gt;50,[8]EvaluaciónRiesgoCorrup!$F$11&lt;76,F18=1,H18=5),$H$25,IF(AND(M18&gt;0,[8]EvaluaciónRiesgoCorrup!$F$11&gt;50,[8]EvaluaciónRiesgoCorrup!$F$11&lt;76,F18=1,H18=10),$H$25,IF(AND(M18&gt;0,[8]EvaluaciónRiesgoCorrup!$F$11&gt;50,[8]EvaluaciónRiesgoCorrup!$F$11&lt;76,F18=1,H18=20),$J$25," ")))</f>
        <v xml:space="preserve"> </v>
      </c>
      <c r="BH18" s="125" t="str">
        <f>IF(AND(M18&gt;0,[8]EvaluaciónRiesgoCorrup!$F$11&gt;50,[8]EvaluaciónRiesgoCorrup!$F$11&lt;76,F18=2,H18=5),$H$26,IF(AND(M18&gt;0,[8]EvaluaciónRiesgoCorrup!$F$11&gt;50,[8]EvaluaciónRiesgoCorrup!$F$11&lt;76,F18=2,H18=10),$H$26,IF(AND(M18&gt;0,[8]EvaluaciónRiesgoCorrup!$F$11&gt;50,[8]EvaluaciónRiesgoCorrup!$F$11&lt;76,F18=2,H18=20),$J$26," ")))</f>
        <v xml:space="preserve"> </v>
      </c>
      <c r="BI18" s="125" t="str">
        <f>IF(AND(M18&gt;0,[8]EvaluaciónRiesgoCorrup!$F$11&gt;50,[8]EvaluaciónRiesgoCorrup!$F$11&lt;76,F18=3,H18=5),$H$27,IF(AND(M18&gt;0,[8]EvaluaciónRiesgoCorrup!$F$11&gt;50,[8]EvaluaciónRiesgoCorrup!$F$11&lt;76,F18=3,H18=10),$H$27,IF(AND(M18&gt;0,[8]EvaluaciónRiesgoCorrup!$F$11&gt;50,[8]EvaluaciónRiesgoCorrup!$F$11&lt;76,F18=3,H18=20),$J$27," ")))</f>
        <v xml:space="preserve"> </v>
      </c>
      <c r="BJ18" s="125" t="str">
        <f>IF(AND(M18&gt;0,[8]EvaluaciónRiesgoCorrup!$F$11&gt;50,[8]EvaluaciónRiesgoCorrup!$F$11&lt;76,F18=4,H18=5),$H$28,IF(AND(M18&gt;0,[8]EvaluaciónRiesgoCorrup!$F$11&gt;50,[8]EvaluaciónRiesgoCorrup!$F$11&lt;76,F18=4,H18=10),$H$28,IF(AND(M18&gt;0,[8]EvaluaciónRiesgoCorrup!$F$11&gt;50,[8]EvaluaciónRiesgoCorrup!$F$11&lt;76,F18=4,H18=20),$J$28," ")))</f>
        <v xml:space="preserve"> </v>
      </c>
      <c r="BK18" s="125" t="str">
        <f>IF(AND(M18&gt;0,[8]EvaluaciónRiesgoCorrup!$F$11&gt;50,[8]EvaluaciónRiesgoCorrup!$F$11&lt;76,F18=5,H18=5),$H$29,IF(AND(M18&gt;0,[8]EvaluaciónRiesgoCorrup!$F$11&gt;50,[8]EvaluaciónRiesgoCorrup!$F$11&lt;76,F18=5,H18=10),$H$29,IF(AND(M18&gt;0,[8]EvaluaciónRiesgoCorrup!$F$11&gt;50,[8]EvaluaciónRiesgoCorrup!$F$11&lt;76,F18=5,H18=20),$J$29," ")))</f>
        <v xml:space="preserve"> </v>
      </c>
      <c r="BN18" s="125" t="str">
        <f>IF(AND(M18&gt;0,[8]EvaluaciónRiesgoCorrup!$F$11&lt;51,F18=1,H18=5),$H$25,IF(AND(M18&gt;0,[8]EvaluaciónRiesgoCorrup!$F$11&lt;51,F18=1,H18=10),$J$25,IF(AND(M18&gt;0,[8]EvaluaciónRiesgoCorrup!$F$11&lt;51,F18=1,H18=20),$K$25," ")))</f>
        <v xml:space="preserve"> </v>
      </c>
      <c r="BO18" s="125" t="str">
        <f>IF(AND(M18&gt;0,[8]EvaluaciónRiesgoCorrup!$F$11&lt;51,F18=2,H18=5),$H$26,IF(AND(M18&gt;0,[8]EvaluaciónRiesgoCorrup!$F$11&lt;51,F18=2,H18=10),$J$26,IF(AND(M18&gt;0,[8]EvaluaciónRiesgoCorrup!$F$11&lt;51,F18=2,H18=20),$K$26," ")))</f>
        <v xml:space="preserve"> </v>
      </c>
      <c r="BP18" s="125" t="str">
        <f>IF(AND(M18&gt;0,[8]EvaluaciónRiesgoCorrup!$F$11&lt;51,F18=3,H18=5),$H$27,IF(AND(M18&gt;0,[8]EvaluaciónRiesgoCorrup!$F$11&lt;51,F18=3,H18=10),$J$27,IF(AND(M18&gt;0,[8]EvaluaciónRiesgoCorrup!$F$11&lt;51,F18=3,H18=20),$K$27," ")))</f>
        <v xml:space="preserve"> </v>
      </c>
      <c r="BQ18" s="125" t="str">
        <f>IF(AND(M18&gt;0,[8]EvaluaciónRiesgoCorrup!$F$11&lt;51,F18=4,H18=5),$H$28,IF(AND(M18&gt;0,[8]EvaluaciónRiesgoCorrup!$F$11&lt;51,F18=4,H18=10),$J$28,IF(AND(M18&gt;0,[8]EvaluaciónRiesgoCorrup!$F$11&lt;51,F18=4,H18=20),$K$28," ")))</f>
        <v xml:space="preserve"> </v>
      </c>
      <c r="BR18" s="125" t="str">
        <f>IF(AND(M18&gt;0,[8]EvaluaciónRiesgoCorrup!$F$11&lt;51,F18=5,H18=5),$H$29,IF(AND(M18&gt;0,[8]EvaluaciónRiesgoCorrup!$F$11&lt;51,F18=5,H18=10),$J$29,IF(AND(M18&gt;0,[8]EvaluaciónRiesgoCorrup!$F$11&lt;51,F18=5,H18=20),$K$29," ")))</f>
        <v xml:space="preserve"> </v>
      </c>
    </row>
    <row r="19" spans="1:70" ht="153.75" customHeight="1" x14ac:dyDescent="0.25">
      <c r="A19" s="306"/>
      <c r="B19" s="306"/>
      <c r="C19" s="306"/>
      <c r="D19" s="306"/>
      <c r="E19" s="308"/>
      <c r="F19" s="309"/>
      <c r="G19" s="309"/>
      <c r="H19" s="310"/>
      <c r="I19" s="310"/>
      <c r="J19" s="311"/>
      <c r="K19" s="348"/>
      <c r="L19" s="516"/>
      <c r="M19" s="517"/>
      <c r="N19" s="311"/>
      <c r="O19" s="307"/>
      <c r="P19" s="312"/>
      <c r="Q19" s="364"/>
      <c r="R19" s="315"/>
      <c r="S19" s="298"/>
      <c r="T19" s="299"/>
      <c r="U19" s="167"/>
      <c r="V19" s="314"/>
      <c r="X19" s="125" t="str">
        <f>IF(AND(F19=1,H19=5),$H$25,IF(AND(F19=1,H19=10),$J$25,IF(AND(F19=1,H19=20),$K$25," ")))</f>
        <v xml:space="preserve"> </v>
      </c>
      <c r="Y19" s="125" t="str">
        <f>IF(AND(F19=2,H19=5),$H$26,IF(AND(F19=2,H19=10),$J$26,IF(AND(F19=2,H19=20),$K$26," ")))</f>
        <v xml:space="preserve"> </v>
      </c>
      <c r="Z19" s="125" t="str">
        <f>IF(AND(F19=3,H19=5),$H$27,IF(AND(F19=3,H19=10),$J$27,IF(AND(F19=3,H19=20),$K$27," ")))</f>
        <v xml:space="preserve"> </v>
      </c>
      <c r="AA19" s="125" t="str">
        <f>IF(AND(F19=4,H19=5),$H$28,IF(AND(F19=4,H19=10),$J$28,IF(AND(F19=4,H19=20),$K$28," ")))</f>
        <v xml:space="preserve"> </v>
      </c>
      <c r="AB19" s="125" t="str">
        <f>IF(AND(F19=5,H19=5),$H$29,IF(AND(F19=5,H19=10),$J$29,IF(AND(F19=5,H19=20),$K$29," ")))</f>
        <v xml:space="preserve"> </v>
      </c>
      <c r="AE19" s="125" t="str">
        <f>IF(AND(L19&gt;0,[8]EvaluaciónRiesgoCorrup!$F$11&gt;75,F19=1,H19=5),$H$25,IF(AND(L19&gt;0,[8]EvaluaciónRiesgoCorrup!$F$11&gt;75,F19=1,H19=10),$J$25,IF(AND(L19&gt;0,[8]EvaluaciónRiesgoCorrup!$F$11&gt;75,F19=1,H19=20),$K$25," ")))</f>
        <v xml:space="preserve"> </v>
      </c>
      <c r="AF19" s="125" t="str">
        <f>IF(AND(L19&gt;0,[8]EvaluaciónRiesgoCorrup!$F$11&gt;75,F19=2,H19=5),$H$25,IF(AND(L19&gt;0,[8]EvaluaciónRiesgoCorrup!$F$11&gt;75,F19=2,H19=10),$J$25,IF(AND(L19&gt;0,[8]EvaluaciónRiesgoCorrup!$F$11&gt;75,F19=2,H19=20),$K$25," ")))</f>
        <v xml:space="preserve"> </v>
      </c>
      <c r="AG19" s="125" t="str">
        <f>IF(AND(L19&gt;0,[8]EvaluaciónRiesgoCorrup!$F$11&gt;75,F19=3,H19=5),$H$25,IF(AND(L19&gt;0,[8]EvaluaciónRiesgoCorrup!$F$11&gt;75,F19=3,H19=10),$J$25,IF(AND(L19&gt;0,[8]EvaluaciónRiesgoCorrup!$F$11&gt;75,F19=3,H19=20),$K$25," ")))</f>
        <v xml:space="preserve"> </v>
      </c>
      <c r="AH19" s="125" t="str">
        <f>IF(AND(L19&gt;0,[8]EvaluaciónRiesgoCorrup!$F$11&gt;75,F19=4,H19=5),$H$26,IF(AND(L19&gt;0,[8]EvaluaciónRiesgoCorrup!$F$11&gt;75,F19=4,H19=10),$J$26,IF(AND(L19&gt;0,[8]EvaluaciónRiesgoCorrup!$F$11&gt;75,F19=4,H19=20),$K$26," ")))</f>
        <v xml:space="preserve"> </v>
      </c>
      <c r="AI19" s="125" t="str">
        <f>IF(AND(L19&gt;0,[8]EvaluaciónRiesgoCorrup!$F$11&gt;75,F19=5,H19=5),$H$27,IF(AND(L19&gt;0,[8]EvaluaciónRiesgoCorrup!$F$11&gt;75,F19=5,H19=10),$J$27,IF(AND(L19&gt;0,[8]EvaluaciónRiesgoCorrup!$F$11&gt;75,F19=5,H19=20),$K$27," ")))</f>
        <v xml:space="preserve"> </v>
      </c>
      <c r="AK19" s="125" t="str">
        <f>IF(AND(L19&gt;0,[8]EvaluaciónRiesgoCorrup!$F$11&gt;50,[8]EvaluaciónRiesgoCorrup!$F$11&lt;76,F19=1,H19=5),$H$25,IF(AND(L19&gt;0,[8]EvaluaciónRiesgoCorrup!$F$11&gt;50,[8]EvaluaciónRiesgoCorrup!$F$11&lt;76,F19=1,H19=10),$J$25,IF(AND(L19&gt;0,[8]EvaluaciónRiesgoCorrup!$F$11&gt;50,[8]EvaluaciónRiesgoCorrup!$F$11&lt;76,F19=1,H19=20),$K$25," ")))</f>
        <v xml:space="preserve"> </v>
      </c>
      <c r="AL19" s="125" t="str">
        <f>IF(AND(L19&gt;0,[8]EvaluaciónRiesgoCorrup!$F$11&gt;50,[8]EvaluaciónRiesgoCorrup!$F$11&lt;76,F19=2,H19=5),$H$25,IF(AND(L19&gt;0,[8]EvaluaciónRiesgoCorrup!$F$11&gt;50,[8]EvaluaciónRiesgoCorrup!$F$11&lt;76,F19=2,H19=10),$J$25,IF(AND(L19&gt;0,[8]EvaluaciónRiesgoCorrup!$F$11&gt;50,[8]EvaluaciónRiesgoCorrup!$F$11&lt;76,F19=2,H19=20),$K$25," ")))</f>
        <v xml:space="preserve"> </v>
      </c>
      <c r="AM19" s="125" t="str">
        <f>IF(AND(L19&gt;0,[8]EvaluaciónRiesgoCorrup!$F$11&gt;50,[8]EvaluaciónRiesgoCorrup!$F$11&lt;76,F19=3,H19=5),$H$26,IF(AND(L19&gt;0,[8]EvaluaciónRiesgoCorrup!$F$11&gt;50,[8]EvaluaciónRiesgoCorrup!$F$11&lt;76,F19=3,H19=10),$J$26,IF(AND(L19&gt;0,[8]EvaluaciónRiesgoCorrup!$F$11&gt;50,[8]EvaluaciónRiesgoCorrup!$F$11&lt;76,F19=3,H19=20),$K$26," ")))</f>
        <v xml:space="preserve"> </v>
      </c>
      <c r="AN19" s="125" t="str">
        <f>IF(AND(L19&gt;0,[8]EvaluaciónRiesgoCorrup!$F$11&gt;50,[8]EvaluaciónRiesgoCorrup!$F$11&lt;76,F19=4,H19=5),$H$27,IF(AND(L19&gt;0,[8]EvaluaciónRiesgoCorrup!$F$11&gt;50,[8]EvaluaciónRiesgoCorrup!$F$11&lt;76,F19=4,H19=10),$J$27,IF(AND(L19&gt;0,[8]EvaluaciónRiesgoCorrup!$F$11&gt;50,[8]EvaluaciónRiesgoCorrup!$F$11&lt;76,F19=4,H19=20),$K$27," ")))</f>
        <v xml:space="preserve"> </v>
      </c>
      <c r="AO19" s="125" t="str">
        <f>IF(AND(L19&gt;0,[8]EvaluaciónRiesgoCorrup!$F$11&gt;50,[8]EvaluaciónRiesgoCorrup!$F$11&lt;76,F19=5,H19=5),$H$28,IF(AND(L19&gt;0,[8]EvaluaciónRiesgoCorrup!$F$11&gt;50,[8]EvaluaciónRiesgoCorrup!$F$11&lt;76,F19=5,H19=10),$J$28,IF(AND(L19&gt;0,[8]EvaluaciónRiesgoCorrup!$F$11&gt;50,[8]EvaluaciónRiesgoCorrup!$F$11&lt;76,F19=5,H19=20),$K$28," ")))</f>
        <v xml:space="preserve"> </v>
      </c>
      <c r="AR19" s="125" t="str">
        <f>IF(AND(L19&gt;0,[8]EvaluaciónRiesgoCorrup!$F$11&lt;51,F19=1,H19=5),$H$25,IF(AND(L19&gt;0,[8]EvaluaciónRiesgoCorrup!$F$11&lt;51,F19=1,H19=10),$J$25,IF(AND(L19&gt;0,[8]EvaluaciónRiesgoCorrup!$F$11&lt;51,F19=1,H19=20),K$25," ")))</f>
        <v xml:space="preserve"> </v>
      </c>
      <c r="AS19" s="125" t="str">
        <f>IF(AND(L19&gt;0,[8]EvaluaciónRiesgoCorrup!$F$11&lt;51,F19=2,H19=5),$H$26,IF(AND(L19&gt;0,[8]EvaluaciónRiesgoCorrup!$F$11&lt;51,F19=2,H19=10),$J$26,IF(AND(L19&gt;0,[8]EvaluaciónRiesgoCorrup!$F$11&lt;51,F19=2,H19=20),K$26," ")))</f>
        <v xml:space="preserve"> </v>
      </c>
      <c r="AT19" s="125" t="str">
        <f>IF(AND(L19&gt;0,[8]EvaluaciónRiesgoCorrup!$F$11&lt;51,F19=3,H19=5),$H$27,IF(AND(L19&gt;0,[8]EvaluaciónRiesgoCorrup!$F$11&lt;51,F19=3,H19=10),$J$27,IF(AND(L19&gt;0,[8]EvaluaciónRiesgoCorrup!$F$11&lt;51,F19=3,H19=20),K$27," ")))</f>
        <v xml:space="preserve"> </v>
      </c>
      <c r="AU19" s="125" t="str">
        <f>IF(AND(L19&gt;0,[8]EvaluaciónRiesgoCorrup!$F$11&lt;51,F19=4,H19=5),$H$28,IF(AND(L19&gt;0,[8]EvaluaciónRiesgoCorrup!$F$11&lt;51,F19=4,H19=10),$J$28,IF(AND(L19&gt;0,[8]EvaluaciónRiesgoCorrup!$F$11&lt;51,F19=4,H19=20),K$28," ")))</f>
        <v xml:space="preserve"> </v>
      </c>
      <c r="AV19" s="125" t="str">
        <f>IF(AND(L19&gt;0,[8]EvaluaciónRiesgoCorrup!$F$11&lt;51,F19=5,H19=5),$H$29,IF(AND(L19&gt;0,[8]EvaluaciónRiesgoCorrup!$F$11&lt;51,F19=5,H19=10),$J$29,IF(AND(L19&gt;0,[8]EvaluaciónRiesgoCorrup!$F$11&lt;51,F19=5,H19=20),K$29," ")))</f>
        <v xml:space="preserve"> </v>
      </c>
      <c r="AZ19" s="125" t="str">
        <f>IF(AND(M19&gt;0,[8]EvaluaciónRiesgoCorrup!$F$11&gt;75,F19=1,H19=5),$H$25,IF(AND(M19&gt;0,[8]EvaluaciónRiesgoCorrup!$F$11&gt;75,F19=1,H19=10),$H$25,IF(AND(M19&gt;0,[8]EvaluaciónRiesgoCorrup!$F$11&gt;75,F19=1,H19=20),$H$25," ")))</f>
        <v xml:space="preserve"> </v>
      </c>
      <c r="BA19" s="125" t="str">
        <f>IF(AND(M19&gt;0,[8]EvaluaciónRiesgoCorrup!$F$11&gt;75,F19=2,H19=5),$H$26,IF(AND(M19&gt;0,[8]EvaluaciónRiesgoCorrup!$F$11&gt;75,F19=2,H19=10),$H$26,IF(AND(M19&gt;0,[8]EvaluaciónRiesgoCorrup!$F$11&gt;75,F19=2,H19=20),$H$26," ")))</f>
        <v xml:space="preserve"> </v>
      </c>
      <c r="BB19" s="125" t="str">
        <f>IF(AND(M19&gt;0,[8]EvaluaciónRiesgoCorrup!$F$11&gt;75,F19=3,H19=5),$H$27,IF(AND(M19&gt;0,[8]EvaluaciónRiesgoCorrup!$F$11&gt;75,F19=3,H19=10),$H$27,IF(AND(M19&gt;0,[8]EvaluaciónRiesgoCorrup!$F$11&gt;75,F19=3,H19=20),$H$27," ")))</f>
        <v xml:space="preserve"> </v>
      </c>
      <c r="BC19" s="125" t="str">
        <f>IF(AND(M19&gt;0,[8]EvaluaciónRiesgoCorrup!$F$11&gt;75,F19=4,H19=5),$H$28,IF(AND(M19&gt;0,[8]EvaluaciónRiesgoCorrup!$F$11&gt;75,F19=4,H19=10),$H$28,IF(AND(M19&gt;0,[8]EvaluaciónRiesgoCorrup!$F$11&gt;75,F19=4,H19=20),$H$28," ")))</f>
        <v xml:space="preserve"> </v>
      </c>
      <c r="BD19" s="125" t="str">
        <f>IF(AND(M19&gt;0,[8]EvaluaciónRiesgoCorrup!$F$11&gt;75,F19=5,H19=5),$H$29,IF(AND(M19&gt;0,[8]EvaluaciónRiesgoCorrup!$F$11&gt;75,F19=5,H19=10),$H$29,IF(AND(M19&gt;0,[8]EvaluaciónRiesgoCorrup!$F$11&gt;75,F19=5,H19=20),$H$29," ")))</f>
        <v xml:space="preserve"> </v>
      </c>
      <c r="BG19" s="125" t="str">
        <f>IF(AND(M19&gt;0,[8]EvaluaciónRiesgoCorrup!$F$11&gt;50,[8]EvaluaciónRiesgoCorrup!$F$11&lt;76,F19=1,H19=5),$H$25,IF(AND(M19&gt;0,[8]EvaluaciónRiesgoCorrup!$F$11&gt;50,[8]EvaluaciónRiesgoCorrup!$F$11&lt;76,F19=1,H19=10),$H$25,IF(AND(M19&gt;0,[8]EvaluaciónRiesgoCorrup!$F$11&gt;50,[8]EvaluaciónRiesgoCorrup!$F$11&lt;76,F19=1,H19=20),$J$25," ")))</f>
        <v xml:space="preserve"> </v>
      </c>
      <c r="BH19" s="125" t="str">
        <f>IF(AND(M19&gt;0,[8]EvaluaciónRiesgoCorrup!$F$11&gt;50,[8]EvaluaciónRiesgoCorrup!$F$11&lt;76,F19=2,H19=5),$H$26,IF(AND(M19&gt;0,[8]EvaluaciónRiesgoCorrup!$F$11&gt;50,[8]EvaluaciónRiesgoCorrup!$F$11&lt;76,F19=2,H19=10),$H$26,IF(AND(M19&gt;0,[8]EvaluaciónRiesgoCorrup!$F$11&gt;50,[8]EvaluaciónRiesgoCorrup!$F$11&lt;76,F19=2,H19=20),$J$26," ")))</f>
        <v xml:space="preserve"> </v>
      </c>
      <c r="BI19" s="125" t="str">
        <f>IF(AND(M19&gt;0,[8]EvaluaciónRiesgoCorrup!$F$11&gt;50,[8]EvaluaciónRiesgoCorrup!$F$11&lt;76,F19=3,H19=5),$H$27,IF(AND(M19&gt;0,[8]EvaluaciónRiesgoCorrup!$F$11&gt;50,[8]EvaluaciónRiesgoCorrup!$F$11&lt;76,F19=3,H19=10),$H$27,IF(AND(M19&gt;0,[8]EvaluaciónRiesgoCorrup!$F$11&gt;50,[8]EvaluaciónRiesgoCorrup!$F$11&lt;76,F19=3,H19=20),$J$27," ")))</f>
        <v xml:space="preserve"> </v>
      </c>
      <c r="BJ19" s="125" t="str">
        <f>IF(AND(M19&gt;0,[8]EvaluaciónRiesgoCorrup!$F$11&gt;50,[8]EvaluaciónRiesgoCorrup!$F$11&lt;76,F19=4,H19=5),$H$28,IF(AND(M19&gt;0,[8]EvaluaciónRiesgoCorrup!$F$11&gt;50,[8]EvaluaciónRiesgoCorrup!$F$11&lt;76,F19=4,H19=10),$H$28,IF(AND(M19&gt;0,[8]EvaluaciónRiesgoCorrup!$F$11&gt;50,[8]EvaluaciónRiesgoCorrup!$F$11&lt;76,F19=4,H19=20),$J$28," ")))</f>
        <v xml:space="preserve"> </v>
      </c>
      <c r="BK19" s="125" t="str">
        <f>IF(AND(M19&gt;0,[8]EvaluaciónRiesgoCorrup!$F$11&gt;50,[8]EvaluaciónRiesgoCorrup!$F$11&lt;76,F19=5,H19=5),$H$29,IF(AND(M19&gt;0,[8]EvaluaciónRiesgoCorrup!$F$11&gt;50,[8]EvaluaciónRiesgoCorrup!$F$11&lt;76,F19=5,H19=10),$H$29,IF(AND(M19&gt;0,[8]EvaluaciónRiesgoCorrup!$F$11&gt;50,[8]EvaluaciónRiesgoCorrup!$F$11&lt;76,F19=5,H19=20),$J$29," ")))</f>
        <v xml:space="preserve"> </v>
      </c>
      <c r="BN19" s="125" t="str">
        <f>IF(AND(M19&gt;0,[8]EvaluaciónRiesgoCorrup!$F$11&lt;51,F19=1,H19=5),$H$25,IF(AND(M19&gt;0,[8]EvaluaciónRiesgoCorrup!$F$11&lt;51,F19=1,H19=10),$J$25,IF(AND(M19&gt;0,[8]EvaluaciónRiesgoCorrup!$F$11&lt;51,F19=1,H19=20),$K$25," ")))</f>
        <v xml:space="preserve"> </v>
      </c>
      <c r="BO19" s="125" t="str">
        <f>IF(AND(M19&gt;0,[8]EvaluaciónRiesgoCorrup!$F$11&lt;51,F19=2,H19=5),$H$26,IF(AND(M19&gt;0,[8]EvaluaciónRiesgoCorrup!$F$11&lt;51,F19=2,H19=10),$J$26,IF(AND(M19&gt;0,[8]EvaluaciónRiesgoCorrup!$F$11&lt;51,F19=2,H19=20),$K$26," ")))</f>
        <v xml:space="preserve"> </v>
      </c>
      <c r="BP19" s="125" t="str">
        <f>IF(AND(M19&gt;0,[8]EvaluaciónRiesgoCorrup!$F$11&lt;51,F19=3,H19=5),$H$27,IF(AND(M19&gt;0,[8]EvaluaciónRiesgoCorrup!$F$11&lt;51,F19=3,H19=10),$J$27,IF(AND(M19&gt;0,[8]EvaluaciónRiesgoCorrup!$F$11&lt;51,F19=3,H19=20),$K$27," ")))</f>
        <v xml:space="preserve"> </v>
      </c>
      <c r="BQ19" s="125" t="str">
        <f>IF(AND(M19&gt;0,[8]EvaluaciónRiesgoCorrup!$F$11&lt;51,F19=4,H19=5),$H$28,IF(AND(M19&gt;0,[8]EvaluaciónRiesgoCorrup!$F$11&lt;51,F19=4,H19=10),$J$28,IF(AND(M19&gt;0,[8]EvaluaciónRiesgoCorrup!$F$11&lt;51,F19=4,H19=20),$K$28," ")))</f>
        <v xml:space="preserve"> </v>
      </c>
      <c r="BR19" s="125" t="str">
        <f>IF(AND(M19&gt;0,[8]EvaluaciónRiesgoCorrup!$F$11&lt;51,F19=5,H19=5),$H$29,IF(AND(M19&gt;0,[8]EvaluaciónRiesgoCorrup!$F$11&lt;51,F19=5,H19=10),$J$29,IF(AND(M19&gt;0,[8]EvaluaciónRiesgoCorrup!$F$11&lt;51,F19=5,H19=20),$K$29," ")))</f>
        <v xml:space="preserve"> </v>
      </c>
    </row>
    <row r="20" spans="1:70" ht="153.75" customHeight="1" x14ac:dyDescent="0.25">
      <c r="A20" s="350"/>
      <c r="B20" s="154"/>
      <c r="C20" s="354"/>
      <c r="D20" s="354"/>
      <c r="E20" s="354"/>
      <c r="F20" s="355"/>
      <c r="G20" s="355"/>
      <c r="H20" s="356"/>
      <c r="I20" s="356"/>
      <c r="J20" s="357"/>
      <c r="K20" s="155"/>
      <c r="L20" s="514"/>
      <c r="M20" s="515"/>
      <c r="N20" s="357"/>
      <c r="O20" s="349"/>
      <c r="P20" s="358"/>
      <c r="Q20" s="156"/>
      <c r="R20" s="312"/>
      <c r="S20" s="298"/>
      <c r="T20" s="299"/>
      <c r="U20" s="361"/>
      <c r="V20" s="353"/>
    </row>
    <row r="21" spans="1:70" x14ac:dyDescent="0.25">
      <c r="A21" s="125"/>
      <c r="B21" s="126"/>
      <c r="C21" s="81"/>
      <c r="D21" s="81"/>
      <c r="E21" s="139"/>
      <c r="V21" s="125"/>
    </row>
    <row r="22" spans="1:70" ht="15" thickBot="1" x14ac:dyDescent="0.3">
      <c r="A22" s="125"/>
      <c r="B22" s="126"/>
      <c r="C22" s="126"/>
      <c r="D22" s="126"/>
      <c r="E22" s="139"/>
      <c r="H22" s="140"/>
      <c r="I22" s="140"/>
      <c r="J22" s="140"/>
    </row>
    <row r="23" spans="1:70" ht="15.75" thickBot="1" x14ac:dyDescent="0.3">
      <c r="A23" s="6"/>
      <c r="B23" s="139"/>
      <c r="C23" s="139"/>
      <c r="D23" s="139"/>
      <c r="E23" s="139"/>
      <c r="F23" s="462" t="s">
        <v>26</v>
      </c>
      <c r="G23" s="77"/>
      <c r="H23" s="464" t="s">
        <v>10</v>
      </c>
      <c r="I23" s="464"/>
      <c r="J23" s="464"/>
      <c r="K23" s="465"/>
      <c r="L23" s="115"/>
      <c r="Q23" s="118"/>
      <c r="S23" s="115"/>
    </row>
    <row r="24" spans="1:70" ht="32.25" customHeight="1" thickBot="1" x14ac:dyDescent="0.3">
      <c r="A24" s="118"/>
      <c r="B24" s="127" t="s">
        <v>34</v>
      </c>
      <c r="C24" s="127"/>
      <c r="D24" s="127"/>
      <c r="E24" s="127"/>
      <c r="F24" s="463"/>
      <c r="G24" s="224"/>
      <c r="H24" s="128" t="s">
        <v>35</v>
      </c>
      <c r="I24" s="128"/>
      <c r="J24" s="34" t="s">
        <v>36</v>
      </c>
      <c r="K24" s="128" t="s">
        <v>37</v>
      </c>
      <c r="L24" s="115"/>
      <c r="Q24" s="118"/>
      <c r="S24" s="115"/>
    </row>
    <row r="25" spans="1:70" ht="15.75" thickBot="1" x14ac:dyDescent="0.3">
      <c r="B25" s="118" t="s">
        <v>38</v>
      </c>
      <c r="C25" s="118"/>
      <c r="D25" s="118"/>
      <c r="F25" s="129" t="s">
        <v>39</v>
      </c>
      <c r="G25" s="129"/>
      <c r="H25" s="130" t="s">
        <v>40</v>
      </c>
      <c r="I25" s="130"/>
      <c r="J25" s="130" t="s">
        <v>40</v>
      </c>
      <c r="K25" s="131" t="s">
        <v>41</v>
      </c>
      <c r="L25" s="115"/>
      <c r="Q25" s="118"/>
      <c r="S25" s="115"/>
    </row>
    <row r="26" spans="1:70" ht="15.75" thickBot="1" x14ac:dyDescent="0.3">
      <c r="F26" s="129" t="s">
        <v>42</v>
      </c>
      <c r="G26" s="129"/>
      <c r="H26" s="130" t="s">
        <v>40</v>
      </c>
      <c r="I26" s="130"/>
      <c r="J26" s="131" t="s">
        <v>41</v>
      </c>
      <c r="K26" s="38" t="s">
        <v>43</v>
      </c>
      <c r="L26" s="115"/>
      <c r="Q26" s="118"/>
      <c r="S26" s="115"/>
    </row>
    <row r="27" spans="1:70" ht="15.75" thickBot="1" x14ac:dyDescent="0.3">
      <c r="F27" s="129" t="s">
        <v>44</v>
      </c>
      <c r="G27" s="129"/>
      <c r="H27" s="131" t="s">
        <v>41</v>
      </c>
      <c r="I27" s="131"/>
      <c r="J27" s="38" t="s">
        <v>43</v>
      </c>
      <c r="K27" s="39" t="s">
        <v>45</v>
      </c>
      <c r="L27" s="115"/>
      <c r="Q27" s="118"/>
      <c r="S27" s="115"/>
    </row>
    <row r="28" spans="1:70" ht="15.75" thickBot="1" x14ac:dyDescent="0.3">
      <c r="F28" s="129" t="s">
        <v>46</v>
      </c>
      <c r="G28" s="129"/>
      <c r="H28" s="131" t="s">
        <v>41</v>
      </c>
      <c r="I28" s="131"/>
      <c r="J28" s="38" t="s">
        <v>43</v>
      </c>
      <c r="K28" s="39" t="s">
        <v>45</v>
      </c>
      <c r="L28" s="115"/>
      <c r="Q28" s="118"/>
      <c r="S28" s="115"/>
    </row>
    <row r="29" spans="1:70" ht="15.75" thickBot="1" x14ac:dyDescent="0.3">
      <c r="F29" s="129" t="s">
        <v>47</v>
      </c>
      <c r="G29" s="129"/>
      <c r="H29" s="131" t="s">
        <v>41</v>
      </c>
      <c r="I29" s="131"/>
      <c r="J29" s="38" t="s">
        <v>43</v>
      </c>
      <c r="K29" s="39" t="s">
        <v>45</v>
      </c>
      <c r="L29" s="115"/>
      <c r="Q29" s="118"/>
      <c r="S29" s="115"/>
    </row>
    <row r="30" spans="1:70" x14ac:dyDescent="0.25">
      <c r="F30" s="115"/>
      <c r="G30" s="115"/>
      <c r="H30" s="115"/>
      <c r="I30" s="115"/>
      <c r="J30" s="115"/>
      <c r="K30" s="118"/>
      <c r="M30" s="118"/>
    </row>
    <row r="31" spans="1:70" ht="15" x14ac:dyDescent="0.25">
      <c r="F31" s="132" t="s">
        <v>48</v>
      </c>
      <c r="G31" s="132"/>
      <c r="H31" s="115"/>
      <c r="I31" s="115"/>
      <c r="J31" s="115"/>
      <c r="K31" s="118"/>
      <c r="M31" s="118"/>
      <c r="N31" s="118"/>
      <c r="O31" s="118"/>
      <c r="P31" s="118"/>
    </row>
    <row r="32" spans="1:70" ht="15" x14ac:dyDescent="0.25">
      <c r="F32" s="133" t="s">
        <v>49</v>
      </c>
      <c r="G32" s="133"/>
      <c r="H32" s="115"/>
      <c r="I32" s="115"/>
      <c r="J32" s="115"/>
      <c r="K32" s="118"/>
      <c r="M32" s="118"/>
      <c r="N32" s="118"/>
      <c r="O32" s="118"/>
      <c r="P32" s="118"/>
    </row>
    <row r="33" spans="6:16" ht="15" x14ac:dyDescent="0.25">
      <c r="F33" s="134" t="s">
        <v>50</v>
      </c>
      <c r="G33" s="134"/>
      <c r="H33" s="115"/>
      <c r="I33" s="115"/>
      <c r="J33" s="115"/>
      <c r="K33" s="118"/>
      <c r="M33" s="118"/>
      <c r="N33" s="118"/>
      <c r="O33" s="118"/>
      <c r="P33" s="118"/>
    </row>
    <row r="34" spans="6:16" ht="15" x14ac:dyDescent="0.25">
      <c r="F34" s="135" t="s">
        <v>51</v>
      </c>
      <c r="G34" s="135"/>
      <c r="H34" s="115"/>
      <c r="I34" s="115"/>
      <c r="J34" s="115"/>
      <c r="K34" s="118"/>
      <c r="M34" s="118"/>
      <c r="N34" s="118"/>
      <c r="O34" s="118"/>
      <c r="P34" s="118"/>
    </row>
  </sheetData>
  <mergeCells count="37">
    <mergeCell ref="A12:D12"/>
    <mergeCell ref="F12:V12"/>
    <mergeCell ref="L20:M20"/>
    <mergeCell ref="F23:F24"/>
    <mergeCell ref="H23:K23"/>
    <mergeCell ref="T15:T16"/>
    <mergeCell ref="U15:U16"/>
    <mergeCell ref="L17:M17"/>
    <mergeCell ref="L18:M18"/>
    <mergeCell ref="L19:M19"/>
    <mergeCell ref="AG13:AY13"/>
    <mergeCell ref="BA13:BT13"/>
    <mergeCell ref="A14:D14"/>
    <mergeCell ref="F14:H14"/>
    <mergeCell ref="K14:K16"/>
    <mergeCell ref="L14:N14"/>
    <mergeCell ref="P14:R14"/>
    <mergeCell ref="S14:V14"/>
    <mergeCell ref="V15:V16"/>
    <mergeCell ref="P15:R15"/>
    <mergeCell ref="S15:S16"/>
    <mergeCell ref="A15:A16"/>
    <mergeCell ref="B15:B16"/>
    <mergeCell ref="F15:H15"/>
    <mergeCell ref="L15:N15"/>
    <mergeCell ref="A6:D6"/>
    <mergeCell ref="F6:V6"/>
    <mergeCell ref="A8:D8"/>
    <mergeCell ref="F8:V8"/>
    <mergeCell ref="A10:D10"/>
    <mergeCell ref="F10:V10"/>
    <mergeCell ref="A1:D4"/>
    <mergeCell ref="F1:T4"/>
    <mergeCell ref="U1:V1"/>
    <mergeCell ref="U2:V2"/>
    <mergeCell ref="U3:V3"/>
    <mergeCell ref="U4:V4"/>
  </mergeCells>
  <conditionalFormatting sqref="J19 N19">
    <cfRule type="containsText" dxfId="75" priority="5" operator="containsText" text="E">
      <formula>NOT(ISERROR(SEARCH("E",J19)))</formula>
    </cfRule>
    <cfRule type="containsText" dxfId="74" priority="6" operator="containsText" text="M">
      <formula>NOT(ISERROR(SEARCH("M",J19)))</formula>
    </cfRule>
    <cfRule type="containsText" dxfId="73" priority="7" operator="containsText" text="A">
      <formula>NOT(ISERROR(SEARCH("A",J19)))</formula>
    </cfRule>
    <cfRule type="containsText" dxfId="72" priority="8" operator="containsText" text="B">
      <formula>NOT(ISERROR(SEARCH("B",J19)))</formula>
    </cfRule>
  </conditionalFormatting>
  <conditionalFormatting sqref="J17 N17:O17">
    <cfRule type="containsText" dxfId="71" priority="1" operator="containsText" text="E">
      <formula>NOT(ISERROR(SEARCH("E",J17)))</formula>
    </cfRule>
    <cfRule type="containsText" dxfId="70" priority="2" operator="containsText" text="M">
      <formula>NOT(ISERROR(SEARCH("M",J17)))</formula>
    </cfRule>
    <cfRule type="containsText" dxfId="69" priority="3" operator="containsText" text="A">
      <formula>NOT(ISERROR(SEARCH("A",J17)))</formula>
    </cfRule>
    <cfRule type="containsText" dxfId="68" priority="4" operator="containsText" text="B">
      <formula>NOT(ISERROR(SEARCH("B",J17)))</formula>
    </cfRule>
  </conditionalFormatting>
  <dataValidations count="3">
    <dataValidation type="list" allowBlank="1" showInputMessage="1" showErrorMessage="1" sqref="P20:Q20 P18:Q18">
      <formula1>$J$31:$J$34</formula1>
    </dataValidation>
    <dataValidation type="list" allowBlank="1" showInputMessage="1" showErrorMessage="1" sqref="L20:O20 L18:O18">
      <formula1>#REF!</formula1>
    </dataValidation>
    <dataValidation type="list" allowBlank="1" showInputMessage="1" showErrorMessage="1" promptTitle="AFECTA A:" prompt="Seleccione según a quien afecte el control" sqref="L19:M19">
      <formula1>$XFD$2:$XFD$3</formula1>
    </dataValidation>
  </dataValidations>
  <pageMargins left="0.7" right="0.7" top="0.75" bottom="0.75" header="0.3" footer="0.3"/>
  <pageSetup scale="1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2"/>
  <sheetViews>
    <sheetView showGridLines="0" view="pageBreakPreview" topLeftCell="D3" zoomScale="70" zoomScaleNormal="55" zoomScaleSheetLayoutView="70" workbookViewId="0">
      <selection activeCell="F12" sqref="F12:W12"/>
    </sheetView>
  </sheetViews>
  <sheetFormatPr baseColWidth="10" defaultColWidth="11.42578125" defaultRowHeight="14.25" x14ac:dyDescent="0.25"/>
  <cols>
    <col min="1" max="1" width="34.7109375" style="2" customWidth="1"/>
    <col min="2" max="3" width="25.5703125" style="2" customWidth="1"/>
    <col min="4" max="5" width="19.7109375" style="2" customWidth="1"/>
    <col min="6" max="7" width="27" style="5" customWidth="1"/>
    <col min="8" max="9" width="19" style="5" customWidth="1"/>
    <col min="10" max="10" width="26.7109375" style="5" customWidth="1"/>
    <col min="11" max="12" width="29.7109375" style="2" customWidth="1"/>
    <col min="13" max="13" width="21.5703125" style="5" customWidth="1"/>
    <col min="14" max="14" width="18.5703125" style="2" customWidth="1"/>
    <col min="15" max="16" width="21.7109375" style="2" customWidth="1"/>
    <col min="17" max="17" width="19.85546875" style="2" customWidth="1"/>
    <col min="18" max="18" width="44.140625" style="2" customWidth="1"/>
    <col min="19" max="19" width="40.5703125" style="2" customWidth="1"/>
    <col min="20" max="20" width="22.42578125" style="5" customWidth="1"/>
    <col min="21" max="21" width="203.5703125" style="2" customWidth="1"/>
    <col min="22" max="22" width="30.42578125" style="2" customWidth="1"/>
    <col min="23" max="23" width="72.28515625" style="2" customWidth="1"/>
    <col min="24" max="24" width="30.42578125" style="2" customWidth="1"/>
    <col min="25" max="25" width="36" style="2" hidden="1" customWidth="1"/>
    <col min="26" max="26" width="0" style="2" hidden="1" customWidth="1"/>
    <col min="27" max="73" width="11.42578125" style="2" hidden="1" customWidth="1"/>
    <col min="74" max="74" width="11.42578125" style="2" customWidth="1"/>
    <col min="75" max="16384" width="11.42578125" style="2"/>
  </cols>
  <sheetData>
    <row r="1" spans="1:73" ht="21" customHeight="1" x14ac:dyDescent="0.25">
      <c r="A1" s="491"/>
      <c r="B1" s="491"/>
      <c r="C1" s="491"/>
      <c r="D1" s="491"/>
      <c r="E1" s="72"/>
      <c r="F1" s="492" t="s">
        <v>0</v>
      </c>
      <c r="G1" s="493"/>
      <c r="H1" s="493"/>
      <c r="I1" s="493"/>
      <c r="J1" s="493"/>
      <c r="K1" s="493"/>
      <c r="L1" s="493"/>
      <c r="M1" s="493"/>
      <c r="N1" s="493"/>
      <c r="O1" s="493"/>
      <c r="P1" s="493"/>
      <c r="Q1" s="493"/>
      <c r="R1" s="493"/>
      <c r="S1" s="493"/>
      <c r="T1" s="493"/>
      <c r="U1" s="494"/>
      <c r="V1" s="501" t="s">
        <v>1</v>
      </c>
      <c r="W1" s="502"/>
      <c r="X1" s="1"/>
      <c r="Y1" s="1"/>
    </row>
    <row r="2" spans="1:73" ht="22.5" customHeight="1" x14ac:dyDescent="0.25">
      <c r="A2" s="491"/>
      <c r="B2" s="491"/>
      <c r="C2" s="491"/>
      <c r="D2" s="491"/>
      <c r="E2" s="73"/>
      <c r="F2" s="495"/>
      <c r="G2" s="496"/>
      <c r="H2" s="496"/>
      <c r="I2" s="496"/>
      <c r="J2" s="496"/>
      <c r="K2" s="496"/>
      <c r="L2" s="496"/>
      <c r="M2" s="496"/>
      <c r="N2" s="496"/>
      <c r="O2" s="496"/>
      <c r="P2" s="496"/>
      <c r="Q2" s="496"/>
      <c r="R2" s="496"/>
      <c r="S2" s="496"/>
      <c r="T2" s="496"/>
      <c r="U2" s="497"/>
      <c r="V2" s="501" t="s">
        <v>162</v>
      </c>
      <c r="W2" s="502"/>
      <c r="X2" s="1"/>
      <c r="Y2" s="1"/>
    </row>
    <row r="3" spans="1:73" ht="21" customHeight="1" x14ac:dyDescent="0.25">
      <c r="A3" s="491"/>
      <c r="B3" s="491"/>
      <c r="C3" s="491"/>
      <c r="D3" s="491"/>
      <c r="E3" s="73"/>
      <c r="F3" s="495"/>
      <c r="G3" s="496"/>
      <c r="H3" s="496"/>
      <c r="I3" s="496"/>
      <c r="J3" s="496"/>
      <c r="K3" s="496"/>
      <c r="L3" s="496"/>
      <c r="M3" s="496"/>
      <c r="N3" s="496"/>
      <c r="O3" s="496"/>
      <c r="P3" s="496"/>
      <c r="Q3" s="496"/>
      <c r="R3" s="496"/>
      <c r="S3" s="496"/>
      <c r="T3" s="496"/>
      <c r="U3" s="497"/>
      <c r="V3" s="501" t="s">
        <v>163</v>
      </c>
      <c r="W3" s="502"/>
      <c r="X3" s="1"/>
      <c r="Y3" s="1"/>
    </row>
    <row r="4" spans="1:73" ht="20.25" customHeight="1" x14ac:dyDescent="0.25">
      <c r="A4" s="491"/>
      <c r="B4" s="491"/>
      <c r="C4" s="491"/>
      <c r="D4" s="491"/>
      <c r="E4" s="74"/>
      <c r="F4" s="498"/>
      <c r="G4" s="499"/>
      <c r="H4" s="499"/>
      <c r="I4" s="499"/>
      <c r="J4" s="499"/>
      <c r="K4" s="499"/>
      <c r="L4" s="499"/>
      <c r="M4" s="499"/>
      <c r="N4" s="499"/>
      <c r="O4" s="499"/>
      <c r="P4" s="499"/>
      <c r="Q4" s="499"/>
      <c r="R4" s="499"/>
      <c r="S4" s="499"/>
      <c r="T4" s="499"/>
      <c r="U4" s="500"/>
      <c r="V4" s="501" t="s">
        <v>2</v>
      </c>
      <c r="W4" s="502"/>
      <c r="X4" s="1"/>
      <c r="Y4" s="1"/>
    </row>
    <row r="5" spans="1:73" ht="8.25" customHeight="1" x14ac:dyDescent="0.25">
      <c r="B5" s="3"/>
      <c r="C5" s="3"/>
      <c r="D5" s="3"/>
      <c r="E5" s="3"/>
      <c r="F5" s="4"/>
      <c r="G5" s="4"/>
      <c r="H5" s="4"/>
      <c r="I5" s="4"/>
      <c r="J5" s="4"/>
      <c r="K5" s="4"/>
      <c r="L5" s="4"/>
      <c r="M5" s="4"/>
      <c r="N5" s="4"/>
      <c r="O5" s="4"/>
      <c r="P5" s="4"/>
      <c r="Q5" s="4"/>
      <c r="R5" s="4"/>
      <c r="X5" s="6"/>
      <c r="Y5" s="6"/>
    </row>
    <row r="6" spans="1:73" ht="15" x14ac:dyDescent="0.25">
      <c r="A6" s="471" t="s">
        <v>3</v>
      </c>
      <c r="B6" s="471"/>
      <c r="C6" s="471"/>
      <c r="D6" s="471"/>
      <c r="E6" s="75"/>
      <c r="F6" s="485" t="str">
        <f>[9]IdentRiesgo!B2</f>
        <v>ATENCION AL CIUDADANO</v>
      </c>
      <c r="G6" s="486"/>
      <c r="H6" s="486"/>
      <c r="I6" s="486"/>
      <c r="J6" s="486"/>
      <c r="K6" s="486"/>
      <c r="L6" s="486"/>
      <c r="M6" s="486"/>
      <c r="N6" s="486"/>
      <c r="O6" s="486"/>
      <c r="P6" s="486"/>
      <c r="Q6" s="486"/>
      <c r="R6" s="486"/>
      <c r="S6" s="486"/>
      <c r="T6" s="486"/>
      <c r="U6" s="486"/>
      <c r="V6" s="486"/>
      <c r="W6" s="487"/>
      <c r="X6" s="6"/>
      <c r="Y6" s="6"/>
    </row>
    <row r="7" spans="1:73" ht="6.75" customHeight="1" x14ac:dyDescent="0.25">
      <c r="B7" s="3"/>
      <c r="C7" s="3"/>
      <c r="D7" s="3"/>
      <c r="E7" s="3"/>
      <c r="F7" s="7"/>
      <c r="G7" s="7"/>
      <c r="H7" s="7"/>
      <c r="I7" s="7"/>
      <c r="J7" s="7"/>
      <c r="K7" s="7"/>
      <c r="L7" s="7"/>
      <c r="M7" s="7"/>
      <c r="N7" s="7"/>
      <c r="O7" s="7"/>
      <c r="P7" s="7"/>
      <c r="Q7" s="7"/>
      <c r="R7" s="7"/>
      <c r="S7" s="8"/>
      <c r="T7" s="8"/>
      <c r="U7" s="8"/>
      <c r="V7" s="8"/>
      <c r="W7" s="8"/>
      <c r="X7" s="6"/>
      <c r="Y7" s="6"/>
    </row>
    <row r="8" spans="1:73" ht="39.75" customHeight="1" x14ac:dyDescent="0.25">
      <c r="A8" s="471" t="s">
        <v>4</v>
      </c>
      <c r="B8" s="471"/>
      <c r="C8" s="471"/>
      <c r="D8" s="471"/>
      <c r="E8" s="75"/>
      <c r="F8" s="488" t="str">
        <f>[9]IdentRiesgo!B3</f>
        <v>Brindar a los usuarios internos y externos del Instituto, una atención y orientación oportuna, eficaz y eficiente, con calidad, garantizando un trato amable y el acceso efectivo a la información que genera el IDEAM.</v>
      </c>
      <c r="G8" s="489"/>
      <c r="H8" s="489"/>
      <c r="I8" s="489"/>
      <c r="J8" s="489"/>
      <c r="K8" s="489"/>
      <c r="L8" s="489"/>
      <c r="M8" s="489"/>
      <c r="N8" s="489"/>
      <c r="O8" s="489"/>
      <c r="P8" s="489"/>
      <c r="Q8" s="489"/>
      <c r="R8" s="489"/>
      <c r="S8" s="489"/>
      <c r="T8" s="489"/>
      <c r="U8" s="489"/>
      <c r="V8" s="489"/>
      <c r="W8" s="490"/>
      <c r="X8" s="9"/>
      <c r="Y8" s="9"/>
    </row>
    <row r="9" spans="1:73" ht="6.75" customHeight="1" x14ac:dyDescent="0.25">
      <c r="B9" s="10"/>
      <c r="C9" s="10"/>
      <c r="D9" s="10"/>
      <c r="E9" s="10"/>
      <c r="F9" s="11"/>
      <c r="G9" s="11"/>
      <c r="H9" s="11"/>
      <c r="I9" s="11"/>
      <c r="J9" s="11"/>
      <c r="K9" s="11"/>
      <c r="L9" s="11"/>
      <c r="M9" s="11"/>
      <c r="N9" s="11"/>
      <c r="O9" s="11"/>
      <c r="P9" s="11"/>
      <c r="Q9" s="11"/>
      <c r="R9" s="11"/>
      <c r="S9" s="8"/>
      <c r="T9" s="8"/>
      <c r="U9" s="8"/>
      <c r="V9" s="8"/>
      <c r="W9" s="8"/>
      <c r="X9" s="6"/>
      <c r="Y9" s="6"/>
    </row>
    <row r="10" spans="1:73" ht="15" x14ac:dyDescent="0.25">
      <c r="A10" s="471" t="s">
        <v>5</v>
      </c>
      <c r="B10" s="471"/>
      <c r="C10" s="471"/>
      <c r="D10" s="471"/>
      <c r="E10" s="75"/>
      <c r="F10" s="472" t="s">
        <v>60</v>
      </c>
      <c r="G10" s="473"/>
      <c r="H10" s="473"/>
      <c r="I10" s="473"/>
      <c r="J10" s="473"/>
      <c r="K10" s="473"/>
      <c r="L10" s="473"/>
      <c r="M10" s="473"/>
      <c r="N10" s="473"/>
      <c r="O10" s="473"/>
      <c r="P10" s="473"/>
      <c r="Q10" s="473"/>
      <c r="R10" s="473"/>
      <c r="S10" s="473"/>
      <c r="T10" s="473"/>
      <c r="U10" s="473"/>
      <c r="V10" s="473"/>
      <c r="W10" s="474"/>
      <c r="X10" s="12"/>
      <c r="Y10" s="12"/>
    </row>
    <row r="11" spans="1:73" ht="5.25" customHeight="1" x14ac:dyDescent="0.25">
      <c r="B11" s="3"/>
      <c r="C11" s="3"/>
      <c r="D11" s="3"/>
      <c r="E11" s="3"/>
      <c r="F11" s="13"/>
      <c r="G11" s="13"/>
      <c r="H11" s="13"/>
      <c r="I11" s="13"/>
      <c r="J11" s="13"/>
      <c r="K11" s="13"/>
      <c r="L11" s="13"/>
      <c r="M11" s="13"/>
      <c r="N11" s="13"/>
      <c r="O11" s="13"/>
      <c r="P11" s="13"/>
      <c r="Q11" s="13"/>
      <c r="R11" s="13"/>
      <c r="S11" s="8"/>
      <c r="T11" s="8"/>
      <c r="U11" s="8"/>
      <c r="V11" s="8"/>
      <c r="W11" s="8"/>
      <c r="X11" s="6"/>
      <c r="Y11" s="6"/>
    </row>
    <row r="12" spans="1:73" ht="15" x14ac:dyDescent="0.25">
      <c r="A12" s="471" t="s">
        <v>6</v>
      </c>
      <c r="B12" s="471"/>
      <c r="C12" s="471"/>
      <c r="D12" s="471"/>
      <c r="E12" s="75"/>
      <c r="F12" s="472" t="s">
        <v>278</v>
      </c>
      <c r="G12" s="473"/>
      <c r="H12" s="473"/>
      <c r="I12" s="473"/>
      <c r="J12" s="473"/>
      <c r="K12" s="473"/>
      <c r="L12" s="473"/>
      <c r="M12" s="473"/>
      <c r="N12" s="473"/>
      <c r="O12" s="473"/>
      <c r="P12" s="473"/>
      <c r="Q12" s="473"/>
      <c r="R12" s="473"/>
      <c r="S12" s="473"/>
      <c r="T12" s="473"/>
      <c r="U12" s="473"/>
      <c r="V12" s="473"/>
      <c r="W12" s="474"/>
      <c r="X12" s="12"/>
      <c r="Y12" s="12"/>
      <c r="AB12" s="2" t="s">
        <v>7</v>
      </c>
    </row>
    <row r="13" spans="1:73" ht="15.75" thickBot="1" x14ac:dyDescent="0.3">
      <c r="B13" s="3"/>
      <c r="C13" s="3"/>
      <c r="D13" s="3"/>
      <c r="E13" s="3"/>
      <c r="F13" s="14"/>
      <c r="G13" s="14"/>
      <c r="H13" s="15"/>
      <c r="I13" s="15"/>
      <c r="J13" s="15"/>
      <c r="K13" s="7"/>
      <c r="L13" s="7"/>
      <c r="M13" s="15"/>
      <c r="N13" s="7"/>
      <c r="O13" s="7"/>
      <c r="P13" s="7"/>
      <c r="Q13" s="7"/>
      <c r="R13" s="7"/>
      <c r="S13" s="7"/>
      <c r="T13" s="15"/>
      <c r="U13" s="7"/>
      <c r="X13" s="6"/>
      <c r="Y13" s="6"/>
      <c r="AB13" s="2" t="s">
        <v>8</v>
      </c>
      <c r="AH13" s="475" t="s">
        <v>9</v>
      </c>
      <c r="AI13" s="475"/>
      <c r="AJ13" s="475"/>
      <c r="AK13" s="475"/>
      <c r="AL13" s="475"/>
      <c r="AM13" s="475"/>
      <c r="AN13" s="475"/>
      <c r="AO13" s="475"/>
      <c r="AP13" s="475"/>
      <c r="AQ13" s="475"/>
      <c r="AR13" s="475"/>
      <c r="AS13" s="475"/>
      <c r="AT13" s="475"/>
      <c r="AU13" s="475"/>
      <c r="AV13" s="475"/>
      <c r="AW13" s="475"/>
      <c r="AX13" s="475"/>
      <c r="AY13" s="475"/>
      <c r="AZ13" s="475"/>
      <c r="BB13" s="475" t="s">
        <v>10</v>
      </c>
      <c r="BC13" s="475"/>
      <c r="BD13" s="475"/>
      <c r="BE13" s="475"/>
      <c r="BF13" s="475"/>
      <c r="BG13" s="475"/>
      <c r="BH13" s="475"/>
      <c r="BI13" s="475"/>
      <c r="BJ13" s="475"/>
      <c r="BK13" s="475"/>
      <c r="BL13" s="475"/>
      <c r="BM13" s="475"/>
      <c r="BN13" s="475"/>
      <c r="BO13" s="475"/>
      <c r="BP13" s="475"/>
      <c r="BQ13" s="475"/>
      <c r="BR13" s="475"/>
      <c r="BS13" s="475"/>
      <c r="BT13" s="475"/>
      <c r="BU13" s="475"/>
    </row>
    <row r="14" spans="1:73" s="17" customFormat="1" ht="15" customHeight="1" x14ac:dyDescent="0.25">
      <c r="A14" s="476" t="s">
        <v>11</v>
      </c>
      <c r="B14" s="477"/>
      <c r="C14" s="477"/>
      <c r="D14" s="478"/>
      <c r="E14" s="76"/>
      <c r="F14" s="479" t="s">
        <v>12</v>
      </c>
      <c r="G14" s="479"/>
      <c r="H14" s="479"/>
      <c r="I14" s="16"/>
      <c r="J14" s="16"/>
      <c r="K14" s="480" t="s">
        <v>13</v>
      </c>
      <c r="L14" s="80"/>
      <c r="M14" s="476" t="s">
        <v>14</v>
      </c>
      <c r="N14" s="477"/>
      <c r="O14" s="478"/>
      <c r="P14" s="68"/>
      <c r="Q14" s="483" t="s">
        <v>15</v>
      </c>
      <c r="R14" s="483"/>
      <c r="S14" s="483"/>
      <c r="T14" s="483" t="s">
        <v>16</v>
      </c>
      <c r="U14" s="483"/>
      <c r="V14" s="483"/>
      <c r="W14" s="483"/>
    </row>
    <row r="15" spans="1:73" s="17" customFormat="1" ht="14.25" customHeight="1" x14ac:dyDescent="0.25">
      <c r="A15" s="481" t="s">
        <v>17</v>
      </c>
      <c r="B15" s="481" t="s">
        <v>18</v>
      </c>
      <c r="C15" s="69"/>
      <c r="D15" s="481" t="s">
        <v>19</v>
      </c>
      <c r="E15" s="69"/>
      <c r="F15" s="461" t="s">
        <v>20</v>
      </c>
      <c r="G15" s="461"/>
      <c r="H15" s="461"/>
      <c r="I15" s="65"/>
      <c r="J15" s="55"/>
      <c r="K15" s="481"/>
      <c r="L15" s="79"/>
      <c r="M15" s="466" t="s">
        <v>21</v>
      </c>
      <c r="N15" s="467"/>
      <c r="O15" s="468"/>
      <c r="P15" s="67"/>
      <c r="Q15" s="466" t="s">
        <v>22</v>
      </c>
      <c r="R15" s="467"/>
      <c r="S15" s="468"/>
      <c r="T15" s="461" t="s">
        <v>23</v>
      </c>
      <c r="U15" s="461" t="s">
        <v>24</v>
      </c>
      <c r="V15" s="461" t="s">
        <v>5</v>
      </c>
      <c r="W15" s="461" t="s">
        <v>25</v>
      </c>
    </row>
    <row r="16" spans="1:73" s="17" customFormat="1" ht="63" customHeight="1" thickBot="1" x14ac:dyDescent="0.3">
      <c r="A16" s="484"/>
      <c r="B16" s="484"/>
      <c r="C16" s="71" t="s">
        <v>77</v>
      </c>
      <c r="D16" s="484"/>
      <c r="E16" s="71" t="s">
        <v>78</v>
      </c>
      <c r="F16" s="55" t="s">
        <v>26</v>
      </c>
      <c r="G16" s="65" t="s">
        <v>77</v>
      </c>
      <c r="H16" s="55" t="s">
        <v>10</v>
      </c>
      <c r="I16" s="65" t="s">
        <v>77</v>
      </c>
      <c r="J16" s="55" t="s">
        <v>27</v>
      </c>
      <c r="K16" s="482"/>
      <c r="L16" s="70" t="s">
        <v>79</v>
      </c>
      <c r="M16" s="19" t="s">
        <v>26</v>
      </c>
      <c r="N16" s="19" t="s">
        <v>10</v>
      </c>
      <c r="O16" s="56" t="s">
        <v>27</v>
      </c>
      <c r="P16" s="71" t="s">
        <v>81</v>
      </c>
      <c r="Q16" s="55" t="s">
        <v>28</v>
      </c>
      <c r="R16" s="55" t="s">
        <v>24</v>
      </c>
      <c r="S16" s="55" t="s">
        <v>29</v>
      </c>
      <c r="T16" s="461"/>
      <c r="U16" s="461"/>
      <c r="V16" s="461"/>
      <c r="W16" s="461"/>
    </row>
    <row r="17" spans="1:71" ht="409.5" customHeight="1" thickTop="1" thickBot="1" x14ac:dyDescent="0.3">
      <c r="A17" s="306" t="str">
        <f>IF(ISTEXT([10]IdentificaciónRiesgos!$B8),[10]IdentificaciónRiesgos!$A8,"")</f>
        <v>1.- Funcionarios predispuestos a la materialización de conductas de corrupción. 
2.- La no aplicación de los Procesos y Procedimientos de Atención al Ciudadano.</v>
      </c>
      <c r="B17" s="306" t="str">
        <f>IF(ISTEXT([10]IdentificaciónRiesgos!$B8),[10]IdentificaciónRiesgos!$B8,"")</f>
        <v>Solicitar o aceptar pagos o cualquier otra clase de beneficio.</v>
      </c>
      <c r="C17" s="306" t="str">
        <f>IF(ISTEXT([10]IdentificaciónRiesgos!$B8),[10]IdentificaciónRiesgos!$C8,"")</f>
        <v xml:space="preserve">Solicitar o aceptar pagos o cualquier otra clase de beneficio, a cambio de dar cumplimiento a las obligaciones propias del cargo asignado al Grupo de Atención al Ciudadano. </v>
      </c>
      <c r="D17" s="306" t="str">
        <f>IF(ISTEXT([10]IdentificaciónRiesgos!$B8),[10]IdentificaciónRiesgos!$D8,"")</f>
        <v>Tutelas, Demandas Adminitrativas, Responsabilidad Penal y Disciplinaria y pérdida de la credibilidad.</v>
      </c>
      <c r="E17" s="308" t="str">
        <f>IF(ISTEXT([10]IdentificaciónRiesgos!$B8),VLOOKUP($C17,[10]DefiniciónRiesgos!$A$4:$F$9,6,FALSE),"")</f>
        <v>RIESGO DE CORRUPCIÓN</v>
      </c>
      <c r="F17" s="309">
        <f>IF(ISTEXT([10]IdentificaciónRiesgos!$B8),IF(EXACT([10]AnálisisRiesgos!$B11,"X"),5,IF(EXACT([10]AnálisisRiesgos!$C11,"X"),4,IF(EXACT([10]AnálisisRiesgos!$D11,"X"),3,IF(EXACT([10]AnálisisRiesgos!$E11,"X"),2,IF(EXACT([10]AnálisisRiesgos!$F11,"X"),1,""))))),"")</f>
        <v>1</v>
      </c>
      <c r="G17" s="309" t="str">
        <f t="shared" ref="G17" si="0">IF(EXACT($F17,5),"Casí Seguro",IF(EXACT($F17,4),"Probable",IF(EXACT($F17,3),"Posible",IF(EXACT($F17,2),"Improbable","Rara Vez"))))</f>
        <v>Rara Vez</v>
      </c>
      <c r="H17" s="310">
        <f>IF(EXACT($B17,""),"",IF(EXACT($E17,"RIESGO DE GESTIÓN"),IF(EXACT([10]AnálisisRiesgos!$G11,"X"),5,IF(EXACT([10]AnálisisRiesgos!$H11,"X"),4,IF(EXACT([10]AnálisisRiesgos!$I11,"X"),3,IF(EXACT([10]AnálisisRiesgos!$J11,"X"),2,1)))),IF(EXACT([10]AnálisisRiesgos!$L11,"X"),20,IF(EXACT([10]AnálisisRiesgos!$M11,"X"),10,5))))</f>
        <v>20</v>
      </c>
      <c r="I17" s="310" t="str">
        <f t="shared" ref="I17" si="1">IF(EXACT($E17,"RIESGO DE GESTIÓN"),IF(EXACT($H17,1),"Insignificante",IF(EXACT($H17,2),"Menor",IF(EXACT($H17,3),"Moderado",IF(EXACT($H17,4),"Mayor","Catastrófico")))),IF(EXACT($H17,5),"Moderado",IF(EXACT($H17,10),"Mayor","Catastrófico")))</f>
        <v>Catastrófico</v>
      </c>
      <c r="J17" s="311" t="s">
        <v>41</v>
      </c>
      <c r="K17" s="459" t="s">
        <v>244</v>
      </c>
      <c r="L17" s="516" t="s">
        <v>10</v>
      </c>
      <c r="M17" s="517"/>
      <c r="N17" s="311"/>
      <c r="O17" s="307" t="s">
        <v>40</v>
      </c>
      <c r="P17" s="307" t="s">
        <v>93</v>
      </c>
      <c r="Q17" s="312" t="s">
        <v>57</v>
      </c>
      <c r="R17" s="344" t="s">
        <v>94</v>
      </c>
      <c r="S17" s="344" t="s">
        <v>95</v>
      </c>
      <c r="T17" s="347"/>
      <c r="U17" s="458"/>
      <c r="V17" s="412" t="s">
        <v>252</v>
      </c>
      <c r="W17" s="363" t="s">
        <v>253</v>
      </c>
      <c r="Y17" s="26" t="str">
        <f>IF(AND(F17=1,H17=5),$H$23,IF(AND(F17=1,H17=10),$J$23,IF(AND(F17=1,H17=20),$K$23," ")))</f>
        <v>M</v>
      </c>
      <c r="Z17" s="26" t="str">
        <f>IF(AND(F17=2,H17=5),$H$24,IF(AND(F17=2,H17=10),$J$24,IF(AND(F17=2,H17=20),$K$24," ")))</f>
        <v xml:space="preserve"> </v>
      </c>
      <c r="AA17" s="26" t="str">
        <f>IF(AND(F17=3,H17=5),$H$25,IF(AND(F17=3,H17=10),$J$25,IF(AND(F17=3,H17=20),$K$25," ")))</f>
        <v xml:space="preserve"> </v>
      </c>
      <c r="AB17" s="26" t="str">
        <f>IF(AND(F17=4,H17=5),$H$26,IF(AND(F17=4,H17=10),$J$26,IF(AND(F17=4,H17=20),$K$26," ")))</f>
        <v xml:space="preserve"> </v>
      </c>
      <c r="AC17" s="26" t="str">
        <f>IF(AND(F17=5,H17=5),$H$27,IF(AND(F17=5,H17=10),$J$27,IF(AND(F17=5,H17=20),$K$27," ")))</f>
        <v xml:space="preserve"> </v>
      </c>
      <c r="AF17" s="26" t="str">
        <f>IF(AND(M17&gt;0,'[9]EvaluaciónRiesgoCorrup 1'!$F$11&gt;75,F17=1,H17=5),$H$23,IF(AND(M17&gt;0,'[9]EvaluaciónRiesgoCorrup 1'!$F$11&gt;75,F17=1,H17=10),$J$23,IF(AND(M17&gt;0,'[9]EvaluaciónRiesgoCorrup 1'!$F$11&gt;75,F17=1,H17=20),$K$23," ")))</f>
        <v xml:space="preserve"> </v>
      </c>
      <c r="AG17" s="26" t="str">
        <f>IF(AND(M17&gt;0,'[9]EvaluaciónRiesgoCorrup 1'!$F$11&gt;75,F17=2,H17=5),$H$23,IF(AND(M17&gt;0,'[9]EvaluaciónRiesgoCorrup 1'!$F$11&gt;75,F17=2,H17=10),$J$23,IF(AND(M17&gt;0,'[9]EvaluaciónRiesgoCorrup 1'!$F$11&gt;75,F17=2,H17=20),$K$23," ")))</f>
        <v xml:space="preserve"> </v>
      </c>
      <c r="AH17" s="26" t="str">
        <f>IF(AND(M17&gt;0,'[9]EvaluaciónRiesgoCorrup 1'!$F$11&gt;75,F17=3,H17=5),$H$23,IF(AND(M17&gt;0,'[9]EvaluaciónRiesgoCorrup 1'!$F$11&gt;75,F17=3,H17=10),$J$23,IF(AND(M17&gt;0,'[9]EvaluaciónRiesgoCorrup 1'!$F$11&gt;75,F17=3,H17=20),$K$23," ")))</f>
        <v xml:space="preserve"> </v>
      </c>
      <c r="AI17" s="26" t="str">
        <f>IF(AND(M17&gt;0,'[9]EvaluaciónRiesgoCorrup 1'!$F$11&gt;75,F17=4,H17=5),$H$24,IF(AND(M17&gt;0,'[9]EvaluaciónRiesgoCorrup 1'!$F$11&gt;75,F17=4,H17=10),$J$24,IF(AND(M17&gt;0,'[9]EvaluaciónRiesgoCorrup 1'!$F$11&gt;75,F17=4,H17=20),$K$24," ")))</f>
        <v xml:space="preserve"> </v>
      </c>
      <c r="AJ17" s="26" t="str">
        <f>IF(AND(M17&gt;0,'[9]EvaluaciónRiesgoCorrup 1'!$F$11&gt;75,F17=5,H17=5),$H$25,IF(AND(M17&gt;0,'[9]EvaluaciónRiesgoCorrup 1'!$F$11&gt;75,F17=5,H17=10),$J$25,IF(AND(M17&gt;0,'[9]EvaluaciónRiesgoCorrup 1'!$F$11&gt;75,F17=5,H17=20),$K$25," ")))</f>
        <v xml:space="preserve"> </v>
      </c>
      <c r="AL17" s="26" t="str">
        <f>IF(AND(M17&gt;0,'[9]EvaluaciónRiesgoCorrup 1'!$F$11&gt;50,'[9]EvaluaciónRiesgoCorrup 1'!$F$11&lt;76,F17=1,H17=5),$H$23,IF(AND(M17&gt;0,'[9]EvaluaciónRiesgoCorrup 1'!$F$11&gt;50,'[9]EvaluaciónRiesgoCorrup 1'!$F$11&lt;76,F17=1,H17=10),$J$23,IF(AND(M17&gt;0,'[9]EvaluaciónRiesgoCorrup 1'!$F$11&gt;50,'[9]EvaluaciónRiesgoCorrup 1'!$F$11&lt;76,F17=1,H17=20),$K$23," ")))</f>
        <v xml:space="preserve"> </v>
      </c>
      <c r="AM17" s="26" t="str">
        <f>IF(AND(M17&gt;0,'[9]EvaluaciónRiesgoCorrup 1'!$F$11&gt;50,'[9]EvaluaciónRiesgoCorrup 1'!$F$11&lt;76,F17=2,H17=5),$H$23,IF(AND(M17&gt;0,'[9]EvaluaciónRiesgoCorrup 1'!$F$11&gt;50,'[9]EvaluaciónRiesgoCorrup 1'!$F$11&lt;76,F17=2,H17=10),$J$23,IF(AND(M17&gt;0,'[9]EvaluaciónRiesgoCorrup 1'!$F$11&gt;50,'[9]EvaluaciónRiesgoCorrup 1'!$F$11&lt;76,F17=2,H17=20),$K$23," ")))</f>
        <v xml:space="preserve"> </v>
      </c>
      <c r="AN17" s="26" t="str">
        <f>IF(AND(M17&gt;0,'[9]EvaluaciónRiesgoCorrup 1'!$F$11&gt;50,'[9]EvaluaciónRiesgoCorrup 1'!$F$11&lt;76,F17=3,H17=5),$H$24,IF(AND(M17&gt;0,'[9]EvaluaciónRiesgoCorrup 1'!$F$11&gt;50,'[9]EvaluaciónRiesgoCorrup 1'!$F$11&lt;76,F17=3,H17=10),$J$24,IF(AND(M17&gt;0,'[9]EvaluaciónRiesgoCorrup 1'!$F$11&gt;50,'[9]EvaluaciónRiesgoCorrup 1'!$F$11&lt;76,F17=3,H17=20),$K$24," ")))</f>
        <v xml:space="preserve"> </v>
      </c>
      <c r="AO17" s="26" t="str">
        <f>IF(AND(M17&gt;0,'[9]EvaluaciónRiesgoCorrup 1'!$F$11&gt;50,'[9]EvaluaciónRiesgoCorrup 1'!$F$11&lt;76,F17=4,H17=5),$H$25,IF(AND(M17&gt;0,'[9]EvaluaciónRiesgoCorrup 1'!$F$11&gt;50,'[9]EvaluaciónRiesgoCorrup 1'!$F$11&lt;76,F17=4,H17=10),$J$25,IF(AND(M17&gt;0,'[9]EvaluaciónRiesgoCorrup 1'!$F$11&gt;50,'[9]EvaluaciónRiesgoCorrup 1'!$F$11&lt;76,F17=4,H17=20),$K$25," ")))</f>
        <v xml:space="preserve"> </v>
      </c>
      <c r="AP17" s="26" t="str">
        <f>IF(AND(M17&gt;0,'[9]EvaluaciónRiesgoCorrup 1'!$F$11&gt;50,'[9]EvaluaciónRiesgoCorrup 1'!$F$11&lt;76,F17=5,H17=5),$H$26,IF(AND(M17&gt;0,'[9]EvaluaciónRiesgoCorrup 1'!$F$11&gt;50,'[9]EvaluaciónRiesgoCorrup 1'!$F$11&lt;76,F17=5,H17=10),$J$26,IF(AND(M17&gt;0,'[9]EvaluaciónRiesgoCorrup 1'!$F$11&gt;50,'[9]EvaluaciónRiesgoCorrup 1'!$F$11&lt;76,F17=5,H17=20),$K$26," ")))</f>
        <v xml:space="preserve"> </v>
      </c>
      <c r="AS17" s="26" t="str">
        <f>IF(AND(M17&gt;0,'[9]EvaluaciónRiesgoCorrup 1'!$F$11&lt;51,F17=1,H17=5),$H$23,IF(AND(M17&gt;0,'[9]EvaluaciónRiesgoCorrup 1'!$F$11&lt;51,F17=1,H17=10),$J$23,IF(AND(M17&gt;0,'[9]EvaluaciónRiesgoCorrup 1'!$F$11&lt;51,F17=1,H17=20),K$23," ")))</f>
        <v xml:space="preserve"> </v>
      </c>
      <c r="AT17" s="26" t="str">
        <f>IF(AND(M17&gt;0,'[9]EvaluaciónRiesgoCorrup 1'!$F$11&lt;51,F17=2,H17=5),$H$24,IF(AND(M17&gt;0,'[9]EvaluaciónRiesgoCorrup 1'!$F$11&lt;51,F17=2,H17=10),$J$24,IF(AND(M17&gt;0,'[9]EvaluaciónRiesgoCorrup 1'!$F$11&lt;51,F17=2,H17=20),K$24," ")))</f>
        <v xml:space="preserve"> </v>
      </c>
      <c r="AU17" s="26" t="str">
        <f>IF(AND(M17&gt;0,'[9]EvaluaciónRiesgoCorrup 1'!$F$11&lt;51,F17=3,H17=5),$H$25,IF(AND(M17&gt;0,'[9]EvaluaciónRiesgoCorrup 1'!$F$11&lt;51,F17=3,H17=10),$J$25,IF(AND(M17&gt;0,'[9]EvaluaciónRiesgoCorrup 1'!$F$11&lt;51,F17=3,H17=20),K$25," ")))</f>
        <v xml:space="preserve"> </v>
      </c>
      <c r="AV17" s="26" t="str">
        <f>IF(AND(M17&gt;0,'[9]EvaluaciónRiesgoCorrup 1'!$F$11&lt;51,F17=4,H17=5),$H$26,IF(AND(M17&gt;0,'[9]EvaluaciónRiesgoCorrup 1'!$F$11&lt;51,F17=4,H17=10),$J$26,IF(AND(M17&gt;0,'[9]EvaluaciónRiesgoCorrup 1'!$F$11&lt;51,F17=4,H17=20),K$26," ")))</f>
        <v xml:space="preserve"> </v>
      </c>
      <c r="AW17" s="26" t="str">
        <f>IF(AND(M17&gt;0,'[9]EvaluaciónRiesgoCorrup 1'!$F$11&lt;51,F17=5,H17=5),$H$27,IF(AND(M17&gt;0,'[9]EvaluaciónRiesgoCorrup 1'!$F$11&lt;51,F17=5,H17=10),$J$27,IF(AND(M17&gt;0,'[9]EvaluaciónRiesgoCorrup 1'!$F$11&lt;51,F17=5,H17=20),K$27," ")))</f>
        <v xml:space="preserve"> </v>
      </c>
      <c r="BA17" s="26" t="str">
        <f>IF(AND(N17&gt;0,'[9]EvaluaciónRiesgoCorrup 1'!$F$11&gt;75,F17=1,H17=5),$H$23,IF(AND(N17&gt;0,'[9]EvaluaciónRiesgoCorrup 1'!$F$11&gt;75,F17=1,H17=10),$H$23,IF(AND(N17&gt;0,'[9]EvaluaciónRiesgoCorrup 1'!$F$11&gt;75,F17=1,H17=20),$H$23," ")))</f>
        <v xml:space="preserve"> </v>
      </c>
      <c r="BB17" s="26" t="str">
        <f>IF(AND(N17&gt;0,'[9]EvaluaciónRiesgoCorrup 1'!$F$11&gt;75,F17=2,H17=5),$H$24,IF(AND(N17&gt;0,'[9]EvaluaciónRiesgoCorrup 1'!$F$11&gt;75,F17=2,H17=10),$H$24,IF(AND(N17&gt;0,'[9]EvaluaciónRiesgoCorrup 1'!$F$11&gt;75,F17=2,H17=20),$H$24," ")))</f>
        <v xml:space="preserve"> </v>
      </c>
      <c r="BC17" s="26" t="str">
        <f>IF(AND(N17&gt;0,'[9]EvaluaciónRiesgoCorrup 1'!$F$11&gt;75,F17=3,H17=5),$H$25,IF(AND(N17&gt;0,'[9]EvaluaciónRiesgoCorrup 1'!$F$11&gt;75,F17=3,H17=10),$H$25,IF(AND(N17&gt;0,'[9]EvaluaciónRiesgoCorrup 1'!$F$11&gt;75,F17=3,H17=20),$H$25," ")))</f>
        <v xml:space="preserve"> </v>
      </c>
      <c r="BD17" s="26" t="str">
        <f>IF(AND(N17&gt;0,'[9]EvaluaciónRiesgoCorrup 1'!$F$11&gt;75,F17=4,H17=5),$H$26,IF(AND(N17&gt;0,'[9]EvaluaciónRiesgoCorrup 1'!$F$11&gt;75,F17=4,H17=10),$H$26,IF(AND(N17&gt;0,'[9]EvaluaciónRiesgoCorrup 1'!$F$11&gt;75,F17=4,H17=20),$H$26," ")))</f>
        <v xml:space="preserve"> </v>
      </c>
      <c r="BE17" s="26" t="str">
        <f>IF(AND(N17&gt;0,'[9]EvaluaciónRiesgoCorrup 1'!$F$11&gt;75,F17=5,H17=5),$H$27,IF(AND(N17&gt;0,'[9]EvaluaciónRiesgoCorrup 1'!$F$11&gt;75,F17=5,H17=10),$H$27,IF(AND(N17&gt;0,'[9]EvaluaciónRiesgoCorrup 1'!$F$11&gt;75,F17=5,H17=20),$H$27," ")))</f>
        <v xml:space="preserve"> </v>
      </c>
      <c r="BH17" s="26" t="str">
        <f>IF(AND(N17&gt;0,'[9]EvaluaciónRiesgoCorrup 1'!$F$11&gt;50,'[9]EvaluaciónRiesgoCorrup 1'!$F$11&lt;76,F17=1,H17=5),$H$23,IF(AND(N17&gt;0,'[9]EvaluaciónRiesgoCorrup 1'!$F$11&gt;50,'[9]EvaluaciónRiesgoCorrup 1'!$F$11&lt;76,F17=1,H17=10),$H$23,IF(AND(N17&gt;0,'[9]EvaluaciónRiesgoCorrup 1'!$F$11&gt;50,'[9]EvaluaciónRiesgoCorrup 1'!$F$11&lt;76,F17=1,H17=20),$J$23," ")))</f>
        <v xml:space="preserve"> </v>
      </c>
      <c r="BI17" s="26" t="str">
        <f>IF(AND(N17&gt;0,'[9]EvaluaciónRiesgoCorrup 1'!$F$11&gt;50,'[9]EvaluaciónRiesgoCorrup 1'!$F$11&lt;76,F17=2,H17=5),$H$24,IF(AND(N17&gt;0,'[9]EvaluaciónRiesgoCorrup 1'!$F$11&gt;50,'[9]EvaluaciónRiesgoCorrup 1'!$F$11&lt;76,F17=2,H17=10),$H$24,IF(AND(N17&gt;0,'[9]EvaluaciónRiesgoCorrup 1'!$F$11&gt;50,'[9]EvaluaciónRiesgoCorrup 1'!$F$11&lt;76,F17=2,H17=20),$J$24," ")))</f>
        <v xml:space="preserve"> </v>
      </c>
      <c r="BJ17" s="26" t="str">
        <f>IF(AND(N17&gt;0,'[9]EvaluaciónRiesgoCorrup 1'!$F$11&gt;50,'[9]EvaluaciónRiesgoCorrup 1'!$F$11&lt;76,F17=3,H17=5),$H$25,IF(AND(N17&gt;0,'[9]EvaluaciónRiesgoCorrup 1'!$F$11&gt;50,'[9]EvaluaciónRiesgoCorrup 1'!$F$11&lt;76,F17=3,H17=10),$H$25,IF(AND(N17&gt;0,'[9]EvaluaciónRiesgoCorrup 1'!$F$11&gt;50,'[9]EvaluaciónRiesgoCorrup 1'!$F$11&lt;76,F17=3,H17=20),$J$25," ")))</f>
        <v xml:space="preserve"> </v>
      </c>
      <c r="BK17" s="26" t="str">
        <f>IF(AND(N17&gt;0,'[9]EvaluaciónRiesgoCorrup 1'!$F$11&gt;50,'[9]EvaluaciónRiesgoCorrup 1'!$F$11&lt;76,F17=4,H17=5),$H$26,IF(AND(N17&gt;0,'[9]EvaluaciónRiesgoCorrup 1'!$F$11&gt;50,'[9]EvaluaciónRiesgoCorrup 1'!$F$11&lt;76,F17=4,H17=10),$H$26,IF(AND(N17&gt;0,'[9]EvaluaciónRiesgoCorrup 1'!$F$11&gt;50,'[9]EvaluaciónRiesgoCorrup 1'!$F$11&lt;76,F17=4,H17=20),$J$26," ")))</f>
        <v xml:space="preserve"> </v>
      </c>
      <c r="BL17" s="26" t="str">
        <f>IF(AND(N17&gt;0,'[9]EvaluaciónRiesgoCorrup 1'!$F$11&gt;50,'[9]EvaluaciónRiesgoCorrup 1'!$F$11&lt;76,F17=5,H17=5),$H$27,IF(AND(N17&gt;0,'[9]EvaluaciónRiesgoCorrup 1'!$F$11&gt;50,'[9]EvaluaciónRiesgoCorrup 1'!$F$11&lt;76,F17=5,H17=10),$H$27,IF(AND(N17&gt;0,'[9]EvaluaciónRiesgoCorrup 1'!$F$11&gt;50,'[9]EvaluaciónRiesgoCorrup 1'!$F$11&lt;76,F17=5,H17=20),$J$27," ")))</f>
        <v xml:space="preserve"> </v>
      </c>
      <c r="BO17" s="26" t="str">
        <f>IF(AND(N17&gt;0,'[9]EvaluaciónRiesgoCorrup 1'!$F$11&lt;51,F17=1,H17=5),$H$23,IF(AND(N17&gt;0,'[9]EvaluaciónRiesgoCorrup 1'!$F$11&lt;51,F17=1,H17=10),$J$23,IF(AND(N17&gt;0,'[9]EvaluaciónRiesgoCorrup 1'!$F$11&lt;51,F17=1,H17=20),$K$23," ")))</f>
        <v xml:space="preserve"> </v>
      </c>
      <c r="BP17" s="26" t="str">
        <f>IF(AND(N17&gt;0,'[9]EvaluaciónRiesgoCorrup 1'!$F$11&lt;51,F17=2,H17=5),$H$24,IF(AND(N17&gt;0,'[9]EvaluaciónRiesgoCorrup 1'!$F$11&lt;51,F17=2,H17=10),$J$24,IF(AND(N17&gt;0,'[9]EvaluaciónRiesgoCorrup 1'!$F$11&lt;51,F17=2,H17=20),$K$24," ")))</f>
        <v xml:space="preserve"> </v>
      </c>
      <c r="BQ17" s="26" t="str">
        <f>IF(AND(N17&gt;0,'[9]EvaluaciónRiesgoCorrup 1'!$F$11&lt;51,F17=3,H17=5),$H$25,IF(AND(N17&gt;0,'[9]EvaluaciónRiesgoCorrup 1'!$F$11&lt;51,F17=3,H17=10),$J$25,IF(AND(N17&gt;0,'[9]EvaluaciónRiesgoCorrup 1'!$F$11&lt;51,F17=3,H17=20),$K$25," ")))</f>
        <v xml:space="preserve"> </v>
      </c>
      <c r="BR17" s="26" t="str">
        <f>IF(AND(N17&gt;0,'[9]EvaluaciónRiesgoCorrup 1'!$F$11&lt;51,F17=4,H17=5),$H$26,IF(AND(N17&gt;0,'[9]EvaluaciónRiesgoCorrup 1'!$F$11&lt;51,F17=4,H17=10),$J$26,IF(AND(N17&gt;0,'[9]EvaluaciónRiesgoCorrup 1'!$F$11&lt;51,F17=4,H17=20),$K$26," ")))</f>
        <v xml:space="preserve"> </v>
      </c>
      <c r="BS17" s="26" t="str">
        <f>IF(AND(N17&gt;0,'[9]EvaluaciónRiesgoCorrup 1'!$F$11&lt;51,F17=5,H17=5),$H$27,IF(AND(N17&gt;0,'[9]EvaluaciónRiesgoCorrup 1'!$F$11&lt;51,F17=5,H17=10),$J$27,IF(AND(N17&gt;0,'[9]EvaluaciónRiesgoCorrup 1'!$F$11&lt;51,F17=5,H17=20),$K$27," ")))</f>
        <v xml:space="preserve"> </v>
      </c>
    </row>
    <row r="18" spans="1:71" ht="125.25" customHeight="1" thickTop="1" x14ac:dyDescent="0.25">
      <c r="A18" s="57"/>
      <c r="B18" s="22"/>
      <c r="C18" s="22"/>
      <c r="D18" s="22"/>
      <c r="E18" s="78"/>
    </row>
    <row r="19" spans="1:71" x14ac:dyDescent="0.25">
      <c r="A19" s="26"/>
      <c r="B19" s="28"/>
      <c r="C19" s="28"/>
      <c r="D19" s="28"/>
      <c r="E19" s="31"/>
    </row>
    <row r="20" spans="1:71" ht="15" thickBot="1" x14ac:dyDescent="0.3">
      <c r="A20" s="26"/>
      <c r="B20" s="28"/>
      <c r="C20" s="28"/>
      <c r="D20" s="28"/>
      <c r="E20" s="31"/>
      <c r="H20" s="30"/>
      <c r="I20" s="30"/>
      <c r="J20" s="30"/>
    </row>
    <row r="21" spans="1:71" ht="15.75" thickBot="1" x14ac:dyDescent="0.3">
      <c r="A21" s="6"/>
      <c r="B21" s="31"/>
      <c r="C21" s="31"/>
      <c r="D21" s="31"/>
      <c r="E21" s="31"/>
      <c r="F21" s="462" t="s">
        <v>26</v>
      </c>
      <c r="G21" s="77"/>
      <c r="H21" s="464" t="s">
        <v>10</v>
      </c>
      <c r="I21" s="464"/>
      <c r="J21" s="464"/>
      <c r="K21" s="465"/>
      <c r="L21" s="82"/>
      <c r="M21" s="2"/>
      <c r="R21" s="5"/>
      <c r="T21" s="2"/>
    </row>
    <row r="22" spans="1:71" ht="32.25" customHeight="1" thickBot="1" x14ac:dyDescent="0.3">
      <c r="A22" s="5"/>
      <c r="B22" s="32" t="s">
        <v>34</v>
      </c>
      <c r="C22" s="32"/>
      <c r="D22" s="32"/>
      <c r="E22" s="32"/>
      <c r="F22" s="463"/>
      <c r="G22" s="66"/>
      <c r="H22" s="33" t="s">
        <v>35</v>
      </c>
      <c r="I22" s="33"/>
      <c r="J22" s="34" t="s">
        <v>36</v>
      </c>
      <c r="K22" s="33" t="s">
        <v>37</v>
      </c>
      <c r="L22" s="83"/>
      <c r="M22" s="2"/>
      <c r="R22" s="5"/>
      <c r="T22" s="2"/>
    </row>
    <row r="23" spans="1:71" ht="15.75" thickBot="1" x14ac:dyDescent="0.3">
      <c r="B23" s="5" t="s">
        <v>38</v>
      </c>
      <c r="C23" s="5"/>
      <c r="F23" s="35" t="s">
        <v>39</v>
      </c>
      <c r="G23" s="35"/>
      <c r="H23" s="36" t="s">
        <v>40</v>
      </c>
      <c r="I23" s="36"/>
      <c r="J23" s="36" t="s">
        <v>40</v>
      </c>
      <c r="K23" s="37" t="s">
        <v>41</v>
      </c>
      <c r="L23" s="84"/>
      <c r="M23" s="2"/>
      <c r="R23" s="5"/>
      <c r="T23" s="2"/>
    </row>
    <row r="24" spans="1:71" ht="15.75" thickBot="1" x14ac:dyDescent="0.3">
      <c r="F24" s="35" t="s">
        <v>42</v>
      </c>
      <c r="G24" s="35"/>
      <c r="H24" s="36" t="s">
        <v>40</v>
      </c>
      <c r="I24" s="36"/>
      <c r="J24" s="37" t="s">
        <v>41</v>
      </c>
      <c r="K24" s="38" t="s">
        <v>43</v>
      </c>
      <c r="L24" s="85"/>
      <c r="M24" s="2"/>
      <c r="R24" s="5"/>
      <c r="T24" s="2"/>
    </row>
    <row r="25" spans="1:71" ht="15.75" thickBot="1" x14ac:dyDescent="0.3">
      <c r="F25" s="35" t="s">
        <v>44</v>
      </c>
      <c r="G25" s="35"/>
      <c r="H25" s="37" t="s">
        <v>41</v>
      </c>
      <c r="I25" s="37"/>
      <c r="J25" s="38" t="s">
        <v>43</v>
      </c>
      <c r="K25" s="39" t="s">
        <v>45</v>
      </c>
      <c r="L25" s="86"/>
      <c r="M25" s="2"/>
      <c r="R25" s="5"/>
      <c r="T25" s="2"/>
    </row>
    <row r="26" spans="1:71" ht="15.75" thickBot="1" x14ac:dyDescent="0.3">
      <c r="F26" s="35" t="s">
        <v>46</v>
      </c>
      <c r="G26" s="35"/>
      <c r="H26" s="37" t="s">
        <v>41</v>
      </c>
      <c r="I26" s="37"/>
      <c r="J26" s="38" t="s">
        <v>43</v>
      </c>
      <c r="K26" s="39" t="s">
        <v>45</v>
      </c>
      <c r="L26" s="86"/>
      <c r="M26" s="2"/>
      <c r="R26" s="5"/>
      <c r="T26" s="2"/>
    </row>
    <row r="27" spans="1:71" ht="15.75" thickBot="1" x14ac:dyDescent="0.3">
      <c r="F27" s="35" t="s">
        <v>47</v>
      </c>
      <c r="G27" s="35"/>
      <c r="H27" s="37" t="s">
        <v>41</v>
      </c>
      <c r="I27" s="37"/>
      <c r="J27" s="38" t="s">
        <v>43</v>
      </c>
      <c r="K27" s="39" t="s">
        <v>45</v>
      </c>
      <c r="L27" s="86"/>
      <c r="M27" s="2"/>
      <c r="R27" s="5"/>
      <c r="T27" s="2"/>
    </row>
    <row r="28" spans="1:71" x14ac:dyDescent="0.25">
      <c r="F28" s="2"/>
      <c r="G28" s="2"/>
      <c r="H28" s="2"/>
      <c r="I28" s="2"/>
      <c r="J28" s="2"/>
      <c r="K28" s="5"/>
      <c r="L28" s="5"/>
      <c r="N28" s="5"/>
    </row>
    <row r="29" spans="1:71" ht="15" x14ac:dyDescent="0.25">
      <c r="F29" s="40" t="s">
        <v>48</v>
      </c>
      <c r="G29" s="40"/>
      <c r="H29" s="2"/>
      <c r="I29" s="2"/>
      <c r="J29" s="2"/>
      <c r="K29" s="5"/>
      <c r="L29" s="5"/>
      <c r="N29" s="5"/>
      <c r="O29" s="5"/>
      <c r="P29" s="5"/>
      <c r="Q29" s="5"/>
    </row>
    <row r="30" spans="1:71" ht="15" x14ac:dyDescent="0.25">
      <c r="F30" s="41" t="s">
        <v>49</v>
      </c>
      <c r="G30" s="41"/>
      <c r="H30" s="2"/>
      <c r="I30" s="2"/>
      <c r="J30" s="2"/>
      <c r="K30" s="5"/>
      <c r="L30" s="5"/>
      <c r="N30" s="5"/>
      <c r="O30" s="5"/>
      <c r="P30" s="5"/>
      <c r="Q30" s="5"/>
    </row>
    <row r="31" spans="1:71" ht="15" x14ac:dyDescent="0.25">
      <c r="F31" s="42" t="s">
        <v>50</v>
      </c>
      <c r="G31" s="42"/>
      <c r="H31" s="2"/>
      <c r="I31" s="2"/>
      <c r="J31" s="2"/>
      <c r="K31" s="5"/>
      <c r="L31" s="5"/>
      <c r="N31" s="5"/>
      <c r="O31" s="5"/>
      <c r="P31" s="5"/>
      <c r="Q31" s="5"/>
    </row>
    <row r="32" spans="1:71" ht="15" x14ac:dyDescent="0.25">
      <c r="F32" s="43" t="s">
        <v>51</v>
      </c>
      <c r="G32" s="43"/>
      <c r="H32" s="2"/>
      <c r="I32" s="2"/>
      <c r="J32" s="2"/>
      <c r="K32" s="5"/>
      <c r="L32" s="5"/>
      <c r="N32" s="5"/>
      <c r="O32" s="5"/>
      <c r="P32" s="5"/>
      <c r="Q32" s="5"/>
    </row>
  </sheetData>
  <mergeCells count="35">
    <mergeCell ref="L17:M17"/>
    <mergeCell ref="F21:F22"/>
    <mergeCell ref="A15:A16"/>
    <mergeCell ref="B15:B16"/>
    <mergeCell ref="D15:D16"/>
    <mergeCell ref="F15:H15"/>
    <mergeCell ref="H21:K21"/>
    <mergeCell ref="BB13:BU13"/>
    <mergeCell ref="A14:D14"/>
    <mergeCell ref="F14:H14"/>
    <mergeCell ref="K14:K16"/>
    <mergeCell ref="Q14:S14"/>
    <mergeCell ref="T14:W14"/>
    <mergeCell ref="V15:V16"/>
    <mergeCell ref="W15:W16"/>
    <mergeCell ref="Q15:S15"/>
    <mergeCell ref="M14:O14"/>
    <mergeCell ref="M15:O15"/>
    <mergeCell ref="T15:T16"/>
    <mergeCell ref="U15:U16"/>
    <mergeCell ref="AH13:AZ13"/>
    <mergeCell ref="A6:D6"/>
    <mergeCell ref="A8:D8"/>
    <mergeCell ref="A10:D10"/>
    <mergeCell ref="A12:D12"/>
    <mergeCell ref="A1:D4"/>
    <mergeCell ref="F12:W12"/>
    <mergeCell ref="F10:W10"/>
    <mergeCell ref="F8:W8"/>
    <mergeCell ref="F6:W6"/>
    <mergeCell ref="F1:U4"/>
    <mergeCell ref="V3:W3"/>
    <mergeCell ref="V2:W2"/>
    <mergeCell ref="V1:W1"/>
    <mergeCell ref="V4:W4"/>
  </mergeCells>
  <conditionalFormatting sqref="J17 N17">
    <cfRule type="containsText" dxfId="67" priority="1" operator="containsText" text="E">
      <formula>NOT(ISERROR(SEARCH("E",J17)))</formula>
    </cfRule>
    <cfRule type="containsText" dxfId="66" priority="2" operator="containsText" text="M">
      <formula>NOT(ISERROR(SEARCH("M",J17)))</formula>
    </cfRule>
    <cfRule type="containsText" dxfId="65" priority="3" operator="containsText" text="A">
      <formula>NOT(ISERROR(SEARCH("A",J17)))</formula>
    </cfRule>
    <cfRule type="containsText" dxfId="64" priority="4" operator="containsText" text="B">
      <formula>NOT(ISERROR(SEARCH("B",J17)))</formula>
    </cfRule>
  </conditionalFormatting>
  <dataValidations disablePrompts="1" count="3">
    <dataValidation type="list" allowBlank="1" showInputMessage="1" showErrorMessage="1" sqref="M18:P18">
      <formula1>#REF!</formula1>
    </dataValidation>
    <dataValidation type="list" allowBlank="1" showInputMessage="1" showErrorMessage="1" sqref="Q18:R18">
      <formula1>$J$29:$J$32</formula1>
    </dataValidation>
    <dataValidation type="list" allowBlank="1" showInputMessage="1" showErrorMessage="1" promptTitle="AFECTA A:" prompt="Seleccione según a quien afecte el control" sqref="L17:M17">
      <formula1>$XFD$2:$XFD$3</formula1>
    </dataValidation>
  </dataValidations>
  <pageMargins left="0.7" right="0.7" top="0.75" bottom="0.75" header="0.3" footer="0.3"/>
  <pageSetup scale="14"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1"/>
  <sheetViews>
    <sheetView showGridLines="0" view="pageBreakPreview" topLeftCell="E7" zoomScaleNormal="60" zoomScaleSheetLayoutView="100" workbookViewId="0">
      <selection activeCell="F12" sqref="F12:W12"/>
    </sheetView>
  </sheetViews>
  <sheetFormatPr baseColWidth="10" defaultColWidth="11.42578125" defaultRowHeight="14.25" x14ac:dyDescent="0.25"/>
  <cols>
    <col min="1" max="1" width="41.28515625" style="2" customWidth="1"/>
    <col min="2" max="5" width="40.42578125" style="2" customWidth="1"/>
    <col min="6" max="7" width="27" style="5" customWidth="1"/>
    <col min="8" max="9" width="19" style="5" customWidth="1"/>
    <col min="10" max="10" width="26.7109375" style="5" customWidth="1"/>
    <col min="11" max="12" width="29.7109375" style="2" customWidth="1"/>
    <col min="13" max="13" width="17.7109375" style="5" customWidth="1"/>
    <col min="14" max="15" width="30" style="2" customWidth="1"/>
    <col min="16" max="16" width="36.28515625" style="2" customWidth="1"/>
    <col min="17" max="17" width="27.42578125" style="2" customWidth="1"/>
    <col min="18" max="18" width="19.85546875" style="2" customWidth="1"/>
    <col min="19" max="19" width="36.42578125" style="5" customWidth="1"/>
    <col min="20" max="20" width="45.7109375" style="2" customWidth="1"/>
    <col min="21" max="21" width="30.42578125" style="2" customWidth="1"/>
    <col min="22" max="22" width="42.85546875" style="2" customWidth="1"/>
    <col min="23" max="23" width="30.42578125" style="2" customWidth="1"/>
    <col min="24" max="24" width="36" style="2" hidden="1" customWidth="1"/>
    <col min="25" max="73" width="11.42578125" style="2" hidden="1" customWidth="1"/>
    <col min="74" max="16384" width="11.42578125" style="2"/>
  </cols>
  <sheetData>
    <row r="1" spans="1:72" ht="21" customHeight="1" x14ac:dyDescent="0.25">
      <c r="A1" s="491"/>
      <c r="B1" s="491"/>
      <c r="C1" s="491"/>
      <c r="D1" s="491"/>
      <c r="E1" s="72"/>
      <c r="F1" s="492" t="s">
        <v>0</v>
      </c>
      <c r="G1" s="493"/>
      <c r="H1" s="493"/>
      <c r="I1" s="493"/>
      <c r="J1" s="493"/>
      <c r="K1" s="493"/>
      <c r="L1" s="493"/>
      <c r="M1" s="493"/>
      <c r="N1" s="493"/>
      <c r="O1" s="493"/>
      <c r="P1" s="493"/>
      <c r="Q1" s="493"/>
      <c r="R1" s="493"/>
      <c r="S1" s="493"/>
      <c r="T1" s="494"/>
      <c r="U1" s="501" t="s">
        <v>1</v>
      </c>
      <c r="V1" s="502"/>
      <c r="W1" s="1"/>
      <c r="X1" s="1"/>
    </row>
    <row r="2" spans="1:72" ht="22.5" customHeight="1" x14ac:dyDescent="0.25">
      <c r="A2" s="491"/>
      <c r="B2" s="491"/>
      <c r="C2" s="491"/>
      <c r="D2" s="491"/>
      <c r="E2" s="73"/>
      <c r="F2" s="495"/>
      <c r="G2" s="496"/>
      <c r="H2" s="496"/>
      <c r="I2" s="496"/>
      <c r="J2" s="496"/>
      <c r="K2" s="496"/>
      <c r="L2" s="496"/>
      <c r="M2" s="496"/>
      <c r="N2" s="496"/>
      <c r="O2" s="496"/>
      <c r="P2" s="496"/>
      <c r="Q2" s="496"/>
      <c r="R2" s="496"/>
      <c r="S2" s="496"/>
      <c r="T2" s="497"/>
      <c r="U2" s="501" t="s">
        <v>162</v>
      </c>
      <c r="V2" s="502"/>
      <c r="W2" s="1"/>
      <c r="X2" s="1"/>
    </row>
    <row r="3" spans="1:72" ht="21" customHeight="1" x14ac:dyDescent="0.25">
      <c r="A3" s="491"/>
      <c r="B3" s="491"/>
      <c r="C3" s="491"/>
      <c r="D3" s="491"/>
      <c r="E3" s="73"/>
      <c r="F3" s="495"/>
      <c r="G3" s="496"/>
      <c r="H3" s="496"/>
      <c r="I3" s="496"/>
      <c r="J3" s="496"/>
      <c r="K3" s="496"/>
      <c r="L3" s="496"/>
      <c r="M3" s="496"/>
      <c r="N3" s="496"/>
      <c r="O3" s="496"/>
      <c r="P3" s="496"/>
      <c r="Q3" s="496"/>
      <c r="R3" s="496"/>
      <c r="S3" s="496"/>
      <c r="T3" s="497"/>
      <c r="U3" s="501" t="s">
        <v>163</v>
      </c>
      <c r="V3" s="502"/>
      <c r="W3" s="1"/>
      <c r="X3" s="1"/>
    </row>
    <row r="4" spans="1:72" ht="20.25" customHeight="1" x14ac:dyDescent="0.25">
      <c r="A4" s="491"/>
      <c r="B4" s="491"/>
      <c r="C4" s="491"/>
      <c r="D4" s="491"/>
      <c r="E4" s="74"/>
      <c r="F4" s="498"/>
      <c r="G4" s="499"/>
      <c r="H4" s="499"/>
      <c r="I4" s="499"/>
      <c r="J4" s="499"/>
      <c r="K4" s="499"/>
      <c r="L4" s="499"/>
      <c r="M4" s="499"/>
      <c r="N4" s="499"/>
      <c r="O4" s="499"/>
      <c r="P4" s="499"/>
      <c r="Q4" s="499"/>
      <c r="R4" s="499"/>
      <c r="S4" s="499"/>
      <c r="T4" s="500"/>
      <c r="U4" s="501" t="s">
        <v>2</v>
      </c>
      <c r="V4" s="502"/>
      <c r="W4" s="1"/>
      <c r="X4" s="1"/>
    </row>
    <row r="5" spans="1:72" ht="8.25" customHeight="1" x14ac:dyDescent="0.25">
      <c r="B5" s="3"/>
      <c r="C5" s="3"/>
      <c r="D5" s="3"/>
      <c r="E5" s="3"/>
      <c r="F5" s="4"/>
      <c r="G5" s="4"/>
      <c r="H5" s="4"/>
      <c r="I5" s="4"/>
      <c r="J5" s="4"/>
      <c r="K5" s="4"/>
      <c r="L5" s="4"/>
      <c r="M5" s="4"/>
      <c r="N5" s="4"/>
      <c r="O5" s="4"/>
      <c r="P5" s="4"/>
      <c r="Q5" s="4"/>
      <c r="W5" s="6"/>
      <c r="X5" s="6"/>
    </row>
    <row r="6" spans="1:72" ht="15" x14ac:dyDescent="0.25">
      <c r="A6" s="471" t="s">
        <v>3</v>
      </c>
      <c r="B6" s="471"/>
      <c r="C6" s="471"/>
      <c r="D6" s="471"/>
      <c r="E6" s="75"/>
      <c r="F6" s="485" t="str">
        <f>[11]IdentRiesgo!B2</f>
        <v xml:space="preserve">Gestión Jurídica y Contractual </v>
      </c>
      <c r="G6" s="486"/>
      <c r="H6" s="486"/>
      <c r="I6" s="486"/>
      <c r="J6" s="486"/>
      <c r="K6" s="486"/>
      <c r="L6" s="486"/>
      <c r="M6" s="486"/>
      <c r="N6" s="486"/>
      <c r="O6" s="486"/>
      <c r="P6" s="486"/>
      <c r="Q6" s="486"/>
      <c r="R6" s="486"/>
      <c r="S6" s="486"/>
      <c r="T6" s="486"/>
      <c r="U6" s="486"/>
      <c r="V6" s="487"/>
      <c r="W6" s="6"/>
      <c r="X6" s="6"/>
    </row>
    <row r="7" spans="1:72" ht="6.75" customHeight="1" x14ac:dyDescent="0.25">
      <c r="B7" s="3"/>
      <c r="C7" s="3"/>
      <c r="D7" s="3"/>
      <c r="E7" s="3"/>
      <c r="F7" s="7"/>
      <c r="G7" s="7"/>
      <c r="H7" s="7"/>
      <c r="I7" s="7"/>
      <c r="J7" s="7"/>
      <c r="K7" s="7"/>
      <c r="L7" s="7"/>
      <c r="M7" s="7"/>
      <c r="N7" s="7"/>
      <c r="O7" s="7"/>
      <c r="P7" s="7"/>
      <c r="Q7" s="7"/>
      <c r="R7" s="8"/>
      <c r="S7" s="8"/>
      <c r="T7" s="8"/>
      <c r="U7" s="8"/>
      <c r="V7" s="8"/>
      <c r="W7" s="6"/>
      <c r="X7" s="6"/>
    </row>
    <row r="8" spans="1:72" ht="39.75" customHeight="1" x14ac:dyDescent="0.25">
      <c r="A8" s="471" t="s">
        <v>4</v>
      </c>
      <c r="B8" s="471"/>
      <c r="C8" s="471"/>
      <c r="D8" s="471"/>
      <c r="E8" s="75"/>
      <c r="F8" s="488" t="str">
        <f>[11]IdentRiesgo!B3</f>
        <v>Asesorar a las diferentes dependencias del Instituto en temas de carácter contractual en sus diferentes etapas (precontractual, contractual y postcontractual), verificando que las mismas se ajustan a la normatividad vigente.</v>
      </c>
      <c r="G8" s="489"/>
      <c r="H8" s="489"/>
      <c r="I8" s="489"/>
      <c r="J8" s="489"/>
      <c r="K8" s="489"/>
      <c r="L8" s="489"/>
      <c r="M8" s="489"/>
      <c r="N8" s="489"/>
      <c r="O8" s="489"/>
      <c r="P8" s="489"/>
      <c r="Q8" s="489"/>
      <c r="R8" s="489"/>
      <c r="S8" s="489"/>
      <c r="T8" s="489"/>
      <c r="U8" s="489"/>
      <c r="V8" s="490"/>
      <c r="W8" s="9"/>
      <c r="X8" s="9"/>
    </row>
    <row r="9" spans="1:72" ht="6.75" customHeight="1" x14ac:dyDescent="0.25">
      <c r="B9" s="10"/>
      <c r="C9" s="10"/>
      <c r="D9" s="10"/>
      <c r="E9" s="10"/>
      <c r="F9" s="11"/>
      <c r="G9" s="11"/>
      <c r="H9" s="11"/>
      <c r="I9" s="11"/>
      <c r="J9" s="11"/>
      <c r="K9" s="11"/>
      <c r="L9" s="11"/>
      <c r="M9" s="11"/>
      <c r="N9" s="11"/>
      <c r="O9" s="11"/>
      <c r="P9" s="11"/>
      <c r="Q9" s="11"/>
      <c r="R9" s="8"/>
      <c r="S9" s="8"/>
      <c r="T9" s="8"/>
      <c r="U9" s="8"/>
      <c r="V9" s="8"/>
      <c r="W9" s="6"/>
      <c r="X9" s="6"/>
    </row>
    <row r="10" spans="1:72" ht="15" x14ac:dyDescent="0.25">
      <c r="A10" s="471" t="s">
        <v>5</v>
      </c>
      <c r="B10" s="471"/>
      <c r="C10" s="471"/>
      <c r="D10" s="471"/>
      <c r="E10" s="75"/>
      <c r="F10" s="472" t="s">
        <v>55</v>
      </c>
      <c r="G10" s="473"/>
      <c r="H10" s="473"/>
      <c r="I10" s="473"/>
      <c r="J10" s="473"/>
      <c r="K10" s="473"/>
      <c r="L10" s="473"/>
      <c r="M10" s="473"/>
      <c r="N10" s="473"/>
      <c r="O10" s="473"/>
      <c r="P10" s="473"/>
      <c r="Q10" s="473"/>
      <c r="R10" s="473"/>
      <c r="S10" s="473"/>
      <c r="T10" s="473"/>
      <c r="U10" s="473"/>
      <c r="V10" s="474"/>
      <c r="W10" s="12"/>
      <c r="X10" s="12"/>
    </row>
    <row r="11" spans="1:72" ht="5.25" customHeight="1" x14ac:dyDescent="0.25">
      <c r="B11" s="3"/>
      <c r="C11" s="3"/>
      <c r="D11" s="3"/>
      <c r="E11" s="3"/>
      <c r="F11" s="13"/>
      <c r="G11" s="13"/>
      <c r="H11" s="13"/>
      <c r="I11" s="13"/>
      <c r="J11" s="13"/>
      <c r="K11" s="13"/>
      <c r="L11" s="13"/>
      <c r="M11" s="13"/>
      <c r="N11" s="13"/>
      <c r="O11" s="13"/>
      <c r="P11" s="13"/>
      <c r="Q11" s="13"/>
      <c r="R11" s="8"/>
      <c r="S11" s="8"/>
      <c r="T11" s="8"/>
      <c r="U11" s="8"/>
      <c r="V11" s="8"/>
      <c r="W11" s="6"/>
      <c r="X11" s="6"/>
    </row>
    <row r="12" spans="1:72" ht="15" x14ac:dyDescent="0.25">
      <c r="A12" s="471" t="s">
        <v>6</v>
      </c>
      <c r="B12" s="471"/>
      <c r="C12" s="471"/>
      <c r="D12" s="471"/>
      <c r="E12" s="75"/>
      <c r="F12" s="472" t="s">
        <v>278</v>
      </c>
      <c r="G12" s="473"/>
      <c r="H12" s="473"/>
      <c r="I12" s="473"/>
      <c r="J12" s="473"/>
      <c r="K12" s="473"/>
      <c r="L12" s="473"/>
      <c r="M12" s="473"/>
      <c r="N12" s="473"/>
      <c r="O12" s="473"/>
      <c r="P12" s="473"/>
      <c r="Q12" s="473"/>
      <c r="R12" s="473"/>
      <c r="S12" s="473"/>
      <c r="T12" s="473"/>
      <c r="U12" s="473"/>
      <c r="V12" s="473"/>
      <c r="W12" s="474"/>
      <c r="X12" s="12"/>
      <c r="AA12" s="2" t="s">
        <v>7</v>
      </c>
    </row>
    <row r="13" spans="1:72" ht="15.75" thickBot="1" x14ac:dyDescent="0.3">
      <c r="B13" s="3"/>
      <c r="C13" s="3"/>
      <c r="D13" s="3"/>
      <c r="E13" s="3"/>
      <c r="F13" s="14"/>
      <c r="G13" s="14"/>
      <c r="H13" s="15"/>
      <c r="I13" s="15"/>
      <c r="J13" s="15"/>
      <c r="K13" s="7"/>
      <c r="L13" s="7"/>
      <c r="M13" s="15"/>
      <c r="N13" s="7"/>
      <c r="O13" s="7"/>
      <c r="P13" s="7"/>
      <c r="Q13" s="7"/>
      <c r="R13" s="7"/>
      <c r="S13" s="15"/>
      <c r="T13" s="7"/>
      <c r="W13" s="6"/>
      <c r="X13" s="6"/>
      <c r="AA13" s="2" t="s">
        <v>8</v>
      </c>
      <c r="AG13" s="475" t="s">
        <v>9</v>
      </c>
      <c r="AH13" s="475"/>
      <c r="AI13" s="475"/>
      <c r="AJ13" s="475"/>
      <c r="AK13" s="475"/>
      <c r="AL13" s="475"/>
      <c r="AM13" s="475"/>
      <c r="AN13" s="475"/>
      <c r="AO13" s="475"/>
      <c r="AP13" s="475"/>
      <c r="AQ13" s="475"/>
      <c r="AR13" s="475"/>
      <c r="AS13" s="475"/>
      <c r="AT13" s="475"/>
      <c r="AU13" s="475"/>
      <c r="AV13" s="475"/>
      <c r="AW13" s="475"/>
      <c r="AX13" s="475"/>
      <c r="AY13" s="475"/>
      <c r="BA13" s="475" t="s">
        <v>10</v>
      </c>
      <c r="BB13" s="475"/>
      <c r="BC13" s="475"/>
      <c r="BD13" s="475"/>
      <c r="BE13" s="475"/>
      <c r="BF13" s="475"/>
      <c r="BG13" s="475"/>
      <c r="BH13" s="475"/>
      <c r="BI13" s="475"/>
      <c r="BJ13" s="475"/>
      <c r="BK13" s="475"/>
      <c r="BL13" s="475"/>
      <c r="BM13" s="475"/>
      <c r="BN13" s="475"/>
      <c r="BO13" s="475"/>
      <c r="BP13" s="475"/>
      <c r="BQ13" s="475"/>
      <c r="BR13" s="475"/>
      <c r="BS13" s="475"/>
      <c r="BT13" s="475"/>
    </row>
    <row r="14" spans="1:72" s="17" customFormat="1" ht="15" customHeight="1" x14ac:dyDescent="0.25">
      <c r="A14" s="476" t="s">
        <v>11</v>
      </c>
      <c r="B14" s="477"/>
      <c r="C14" s="477"/>
      <c r="D14" s="478"/>
      <c r="E14" s="76"/>
      <c r="F14" s="479" t="s">
        <v>12</v>
      </c>
      <c r="G14" s="479"/>
      <c r="H14" s="479"/>
      <c r="I14" s="16"/>
      <c r="J14" s="16"/>
      <c r="K14" s="480" t="s">
        <v>13</v>
      </c>
      <c r="L14" s="80"/>
      <c r="M14" s="476" t="s">
        <v>14</v>
      </c>
      <c r="N14" s="478"/>
      <c r="O14" s="93"/>
      <c r="P14" s="483" t="s">
        <v>15</v>
      </c>
      <c r="Q14" s="483"/>
      <c r="R14" s="483"/>
      <c r="S14" s="483" t="s">
        <v>16</v>
      </c>
      <c r="T14" s="483"/>
      <c r="U14" s="483"/>
      <c r="V14" s="483"/>
    </row>
    <row r="15" spans="1:72" s="17" customFormat="1" ht="14.25" customHeight="1" x14ac:dyDescent="0.25">
      <c r="A15" s="481" t="s">
        <v>17</v>
      </c>
      <c r="B15" s="481" t="s">
        <v>18</v>
      </c>
      <c r="C15" s="94"/>
      <c r="D15" s="481" t="s">
        <v>19</v>
      </c>
      <c r="E15" s="94"/>
      <c r="F15" s="461" t="s">
        <v>20</v>
      </c>
      <c r="G15" s="461"/>
      <c r="H15" s="461"/>
      <c r="I15" s="97"/>
      <c r="J15" s="18"/>
      <c r="K15" s="481"/>
      <c r="L15" s="79"/>
      <c r="M15" s="466" t="s">
        <v>21</v>
      </c>
      <c r="N15" s="468"/>
      <c r="O15" s="98"/>
      <c r="P15" s="466" t="s">
        <v>22</v>
      </c>
      <c r="Q15" s="467"/>
      <c r="R15" s="468"/>
      <c r="S15" s="461" t="s">
        <v>23</v>
      </c>
      <c r="T15" s="461" t="s">
        <v>24</v>
      </c>
      <c r="U15" s="461" t="s">
        <v>5</v>
      </c>
      <c r="V15" s="461" t="s">
        <v>25</v>
      </c>
    </row>
    <row r="16" spans="1:72" s="17" customFormat="1" ht="63" customHeight="1" x14ac:dyDescent="0.25">
      <c r="A16" s="484"/>
      <c r="B16" s="484"/>
      <c r="C16" s="96" t="s">
        <v>77</v>
      </c>
      <c r="D16" s="484"/>
      <c r="E16" s="96" t="s">
        <v>78</v>
      </c>
      <c r="F16" s="18" t="s">
        <v>26</v>
      </c>
      <c r="G16" s="97" t="s">
        <v>77</v>
      </c>
      <c r="H16" s="18" t="s">
        <v>10</v>
      </c>
      <c r="I16" s="97" t="s">
        <v>77</v>
      </c>
      <c r="J16" s="18" t="s">
        <v>27</v>
      </c>
      <c r="K16" s="482"/>
      <c r="L16" s="95" t="s">
        <v>79</v>
      </c>
      <c r="M16" s="19" t="s">
        <v>26</v>
      </c>
      <c r="N16" s="20" t="s">
        <v>27</v>
      </c>
      <c r="O16" s="96" t="s">
        <v>81</v>
      </c>
      <c r="P16" s="18" t="s">
        <v>28</v>
      </c>
      <c r="Q16" s="18" t="s">
        <v>24</v>
      </c>
      <c r="R16" s="18" t="s">
        <v>29</v>
      </c>
      <c r="S16" s="461"/>
      <c r="T16" s="461"/>
      <c r="U16" s="461"/>
      <c r="V16" s="461"/>
    </row>
    <row r="17" spans="1:22" ht="174.75" customHeight="1" x14ac:dyDescent="0.25">
      <c r="A17" s="350" t="s">
        <v>99</v>
      </c>
      <c r="B17" s="354" t="s">
        <v>100</v>
      </c>
      <c r="C17" s="354" t="s">
        <v>101</v>
      </c>
      <c r="D17" s="354" t="s">
        <v>102</v>
      </c>
      <c r="E17" s="354" t="s">
        <v>211</v>
      </c>
      <c r="F17" s="355">
        <v>2</v>
      </c>
      <c r="G17" s="355" t="s">
        <v>96</v>
      </c>
      <c r="H17" s="356">
        <v>20</v>
      </c>
      <c r="I17" s="356" t="s">
        <v>92</v>
      </c>
      <c r="J17" s="357" t="s">
        <v>43</v>
      </c>
      <c r="K17" s="155" t="s">
        <v>103</v>
      </c>
      <c r="L17" s="514" t="s">
        <v>26</v>
      </c>
      <c r="M17" s="515"/>
      <c r="N17" s="357" t="s">
        <v>41</v>
      </c>
      <c r="O17" s="349" t="s">
        <v>93</v>
      </c>
      <c r="P17" s="358" t="s">
        <v>70</v>
      </c>
      <c r="Q17" s="225" t="s">
        <v>236</v>
      </c>
      <c r="R17" s="358" t="s">
        <v>207</v>
      </c>
      <c r="S17" s="445"/>
      <c r="T17" s="156"/>
      <c r="U17" s="361" t="s">
        <v>254</v>
      </c>
      <c r="V17" s="353" t="s">
        <v>255</v>
      </c>
    </row>
    <row r="18" spans="1:22" x14ac:dyDescent="0.25">
      <c r="A18" s="26"/>
      <c r="B18" s="28"/>
      <c r="C18" s="28"/>
      <c r="D18" s="81"/>
      <c r="E18" s="31"/>
    </row>
    <row r="19" spans="1:22" ht="15" thickBot="1" x14ac:dyDescent="0.3">
      <c r="A19" s="26"/>
      <c r="B19" s="28"/>
      <c r="C19" s="28"/>
      <c r="D19" s="28"/>
      <c r="E19" s="31"/>
      <c r="H19" s="30"/>
      <c r="I19" s="30"/>
      <c r="J19" s="30"/>
    </row>
    <row r="20" spans="1:22" ht="15.75" thickBot="1" x14ac:dyDescent="0.3">
      <c r="A20" s="6"/>
      <c r="B20" s="31"/>
      <c r="C20" s="31"/>
      <c r="D20" s="31"/>
      <c r="E20" s="31"/>
      <c r="F20" s="462" t="s">
        <v>26</v>
      </c>
      <c r="G20" s="77"/>
      <c r="H20" s="464" t="s">
        <v>10</v>
      </c>
      <c r="I20" s="464"/>
      <c r="J20" s="464"/>
      <c r="K20" s="465"/>
      <c r="L20" s="82"/>
      <c r="M20" s="2"/>
      <c r="Q20" s="5"/>
      <c r="S20" s="2"/>
    </row>
    <row r="21" spans="1:22" ht="32.25" customHeight="1" thickBot="1" x14ac:dyDescent="0.3">
      <c r="A21" s="5"/>
      <c r="B21" s="32" t="s">
        <v>34</v>
      </c>
      <c r="C21" s="32"/>
      <c r="D21" s="32"/>
      <c r="E21" s="32"/>
      <c r="F21" s="463"/>
      <c r="G21" s="99"/>
      <c r="H21" s="33" t="s">
        <v>35</v>
      </c>
      <c r="I21" s="33"/>
      <c r="J21" s="34" t="s">
        <v>36</v>
      </c>
      <c r="K21" s="33" t="s">
        <v>37</v>
      </c>
      <c r="L21" s="83"/>
      <c r="M21" s="2"/>
      <c r="Q21" s="5"/>
      <c r="S21" s="2"/>
    </row>
    <row r="22" spans="1:22" ht="15.75" thickBot="1" x14ac:dyDescent="0.3">
      <c r="B22" s="5" t="s">
        <v>38</v>
      </c>
      <c r="C22" s="5"/>
      <c r="F22" s="35" t="s">
        <v>39</v>
      </c>
      <c r="G22" s="35"/>
      <c r="H22" s="36" t="s">
        <v>40</v>
      </c>
      <c r="I22" s="36"/>
      <c r="J22" s="36" t="s">
        <v>40</v>
      </c>
      <c r="K22" s="37" t="s">
        <v>41</v>
      </c>
      <c r="L22" s="84"/>
      <c r="M22" s="2"/>
      <c r="Q22" s="5"/>
      <c r="S22" s="2"/>
    </row>
    <row r="23" spans="1:22" ht="15.75" thickBot="1" x14ac:dyDescent="0.3">
      <c r="F23" s="35" t="s">
        <v>42</v>
      </c>
      <c r="G23" s="35"/>
      <c r="H23" s="36" t="s">
        <v>40</v>
      </c>
      <c r="I23" s="36"/>
      <c r="J23" s="37" t="s">
        <v>41</v>
      </c>
      <c r="K23" s="38" t="s">
        <v>43</v>
      </c>
      <c r="L23" s="85"/>
      <c r="M23" s="2"/>
      <c r="Q23" s="5"/>
      <c r="S23" s="2"/>
    </row>
    <row r="24" spans="1:22" ht="15.75" thickBot="1" x14ac:dyDescent="0.3">
      <c r="F24" s="35" t="s">
        <v>44</v>
      </c>
      <c r="G24" s="35"/>
      <c r="H24" s="37" t="s">
        <v>41</v>
      </c>
      <c r="I24" s="37"/>
      <c r="J24" s="38" t="s">
        <v>43</v>
      </c>
      <c r="K24" s="39" t="s">
        <v>45</v>
      </c>
      <c r="L24" s="86"/>
      <c r="M24" s="2"/>
      <c r="Q24" s="5"/>
      <c r="S24" s="2"/>
    </row>
    <row r="25" spans="1:22" ht="15.75" thickBot="1" x14ac:dyDescent="0.3">
      <c r="F25" s="35" t="s">
        <v>46</v>
      </c>
      <c r="G25" s="35"/>
      <c r="H25" s="37" t="s">
        <v>41</v>
      </c>
      <c r="I25" s="37"/>
      <c r="J25" s="38" t="s">
        <v>43</v>
      </c>
      <c r="K25" s="39" t="s">
        <v>45</v>
      </c>
      <c r="L25" s="86"/>
      <c r="M25" s="2"/>
      <c r="Q25" s="5"/>
      <c r="S25" s="2"/>
    </row>
    <row r="26" spans="1:22" ht="15.75" thickBot="1" x14ac:dyDescent="0.3">
      <c r="F26" s="35" t="s">
        <v>47</v>
      </c>
      <c r="G26" s="35"/>
      <c r="H26" s="37" t="s">
        <v>41</v>
      </c>
      <c r="I26" s="37"/>
      <c r="J26" s="38" t="s">
        <v>43</v>
      </c>
      <c r="K26" s="39" t="s">
        <v>45</v>
      </c>
      <c r="L26" s="86"/>
      <c r="M26" s="2"/>
      <c r="Q26" s="5"/>
      <c r="S26" s="2"/>
    </row>
    <row r="27" spans="1:22" x14ac:dyDescent="0.25">
      <c r="F27" s="2"/>
      <c r="G27" s="2"/>
      <c r="H27" s="2"/>
      <c r="I27" s="2"/>
      <c r="J27" s="2"/>
      <c r="K27" s="5"/>
      <c r="L27" s="5"/>
    </row>
    <row r="28" spans="1:22" ht="15" x14ac:dyDescent="0.25">
      <c r="F28" s="40" t="s">
        <v>48</v>
      </c>
      <c r="G28" s="40"/>
      <c r="H28" s="2"/>
      <c r="I28" s="2"/>
      <c r="J28" s="2"/>
      <c r="K28" s="5"/>
      <c r="L28" s="5"/>
      <c r="N28" s="5"/>
      <c r="O28" s="5"/>
      <c r="P28" s="5"/>
    </row>
    <row r="29" spans="1:22" ht="15" x14ac:dyDescent="0.25">
      <c r="F29" s="41" t="s">
        <v>49</v>
      </c>
      <c r="G29" s="41"/>
      <c r="H29" s="2"/>
      <c r="I29" s="2"/>
      <c r="J29" s="2"/>
      <c r="K29" s="5"/>
      <c r="L29" s="5"/>
      <c r="N29" s="5"/>
      <c r="O29" s="5"/>
      <c r="P29" s="5"/>
    </row>
    <row r="30" spans="1:22" ht="15" x14ac:dyDescent="0.25">
      <c r="F30" s="42" t="s">
        <v>50</v>
      </c>
      <c r="G30" s="42"/>
      <c r="H30" s="2"/>
      <c r="I30" s="2"/>
      <c r="J30" s="2"/>
      <c r="K30" s="5"/>
      <c r="L30" s="5"/>
      <c r="N30" s="5"/>
      <c r="O30" s="5"/>
      <c r="P30" s="5"/>
    </row>
    <row r="31" spans="1:22" ht="15" x14ac:dyDescent="0.25">
      <c r="F31" s="43" t="s">
        <v>51</v>
      </c>
      <c r="G31" s="43"/>
      <c r="H31" s="2"/>
      <c r="I31" s="2"/>
      <c r="J31" s="2"/>
      <c r="K31" s="5"/>
      <c r="L31" s="5"/>
      <c r="N31" s="5"/>
      <c r="O31" s="5"/>
      <c r="P31" s="5"/>
    </row>
  </sheetData>
  <mergeCells count="35">
    <mergeCell ref="F12:W12"/>
    <mergeCell ref="T15:T16"/>
    <mergeCell ref="U15:U16"/>
    <mergeCell ref="V15:V16"/>
    <mergeCell ref="F20:F21"/>
    <mergeCell ref="H20:K20"/>
    <mergeCell ref="P15:R15"/>
    <mergeCell ref="L17:M17"/>
    <mergeCell ref="A12:D12"/>
    <mergeCell ref="AG13:AY13"/>
    <mergeCell ref="BA13:BT13"/>
    <mergeCell ref="A14:D14"/>
    <mergeCell ref="F14:H14"/>
    <mergeCell ref="K14:K16"/>
    <mergeCell ref="M14:N14"/>
    <mergeCell ref="P14:R14"/>
    <mergeCell ref="S14:V14"/>
    <mergeCell ref="A15:A16"/>
    <mergeCell ref="B15:B16"/>
    <mergeCell ref="D15:D16"/>
    <mergeCell ref="F15:H15"/>
    <mergeCell ref="M15:N15"/>
    <mergeCell ref="S15:S16"/>
    <mergeCell ref="A6:D6"/>
    <mergeCell ref="F6:V6"/>
    <mergeCell ref="A8:D8"/>
    <mergeCell ref="F8:V8"/>
    <mergeCell ref="A10:D10"/>
    <mergeCell ref="F10:V10"/>
    <mergeCell ref="A1:D4"/>
    <mergeCell ref="F1:T4"/>
    <mergeCell ref="U1:V1"/>
    <mergeCell ref="U2:V2"/>
    <mergeCell ref="U3:V3"/>
    <mergeCell ref="U4:V4"/>
  </mergeCells>
  <dataValidations disablePrompts="1" count="1">
    <dataValidation type="list" allowBlank="1" showInputMessage="1" showErrorMessage="1" sqref="M17:O17">
      <formula1>#REF!</formula1>
    </dataValidation>
  </dataValidations>
  <pageMargins left="0.7" right="0.7" top="0.75" bottom="0.75" header="0.3" footer="0.3"/>
  <pageSetup scale="1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30"/>
  <sheetViews>
    <sheetView showGridLines="0" view="pageBreakPreview" topLeftCell="E6" zoomScaleNormal="85" zoomScaleSheetLayoutView="100" workbookViewId="0">
      <selection activeCell="F12" sqref="F12:W12"/>
    </sheetView>
  </sheetViews>
  <sheetFormatPr baseColWidth="10" defaultColWidth="11.42578125" defaultRowHeight="14.25" x14ac:dyDescent="0.25"/>
  <cols>
    <col min="1" max="1" width="41.28515625" style="2" customWidth="1"/>
    <col min="2" max="5" width="40.42578125" style="2" customWidth="1"/>
    <col min="6" max="7" width="27" style="5" customWidth="1"/>
    <col min="8" max="9" width="19" style="5" customWidth="1"/>
    <col min="10" max="10" width="26.7109375" style="5" customWidth="1"/>
    <col min="11" max="11" width="29.7109375" style="2" customWidth="1"/>
    <col min="12" max="12" width="17.7109375" style="5" customWidth="1"/>
    <col min="13" max="13" width="18.5703125" style="2" customWidth="1"/>
    <col min="14" max="15" width="21.7109375" style="2" customWidth="1"/>
    <col min="16" max="16" width="19.85546875" style="2" customWidth="1"/>
    <col min="17" max="17" width="30.7109375" style="2" customWidth="1"/>
    <col min="18" max="18" width="17" style="2" customWidth="1"/>
    <col min="19" max="19" width="16.5703125" style="5" customWidth="1"/>
    <col min="20" max="20" width="39.42578125" style="2" customWidth="1"/>
    <col min="21" max="21" width="30.42578125" style="2" customWidth="1"/>
    <col min="22" max="22" width="45.42578125" style="2" customWidth="1"/>
    <col min="23" max="23" width="45.42578125" style="428" customWidth="1"/>
    <col min="24" max="24" width="45.42578125" style="115" customWidth="1"/>
    <col min="25" max="25" width="30.42578125" style="2" customWidth="1"/>
    <col min="26" max="26" width="36" style="2" hidden="1" customWidth="1"/>
    <col min="27" max="75" width="11.42578125" style="2" hidden="1" customWidth="1"/>
    <col min="76" max="16384" width="11.42578125" style="2"/>
  </cols>
  <sheetData>
    <row r="1" spans="1:74" ht="21" customHeight="1" x14ac:dyDescent="0.25">
      <c r="A1" s="491"/>
      <c r="B1" s="491"/>
      <c r="C1" s="491"/>
      <c r="D1" s="491"/>
      <c r="E1" s="72"/>
      <c r="F1" s="492" t="s">
        <v>0</v>
      </c>
      <c r="G1" s="493"/>
      <c r="H1" s="493"/>
      <c r="I1" s="493"/>
      <c r="J1" s="493"/>
      <c r="K1" s="493"/>
      <c r="L1" s="493"/>
      <c r="M1" s="493"/>
      <c r="N1" s="493"/>
      <c r="O1" s="493"/>
      <c r="P1" s="493"/>
      <c r="Q1" s="493"/>
      <c r="R1" s="493"/>
      <c r="S1" s="493"/>
      <c r="T1" s="494"/>
      <c r="U1" s="501" t="s">
        <v>1</v>
      </c>
      <c r="V1" s="502"/>
      <c r="W1" s="319"/>
      <c r="X1" s="319"/>
      <c r="Y1" s="1"/>
      <c r="Z1" s="1"/>
    </row>
    <row r="2" spans="1:74" ht="22.5" customHeight="1" x14ac:dyDescent="0.25">
      <c r="A2" s="491"/>
      <c r="B2" s="491"/>
      <c r="C2" s="491"/>
      <c r="D2" s="491"/>
      <c r="E2" s="73"/>
      <c r="F2" s="495"/>
      <c r="G2" s="496"/>
      <c r="H2" s="496"/>
      <c r="I2" s="496"/>
      <c r="J2" s="496"/>
      <c r="K2" s="496"/>
      <c r="L2" s="496"/>
      <c r="M2" s="496"/>
      <c r="N2" s="496"/>
      <c r="O2" s="496"/>
      <c r="P2" s="496"/>
      <c r="Q2" s="496"/>
      <c r="R2" s="496"/>
      <c r="S2" s="496"/>
      <c r="T2" s="497"/>
      <c r="U2" s="501" t="s">
        <v>162</v>
      </c>
      <c r="V2" s="502"/>
      <c r="W2" s="319"/>
      <c r="X2" s="319"/>
      <c r="Y2" s="1"/>
      <c r="Z2" s="1"/>
    </row>
    <row r="3" spans="1:74" ht="21" customHeight="1" x14ac:dyDescent="0.25">
      <c r="A3" s="491"/>
      <c r="B3" s="491"/>
      <c r="C3" s="491"/>
      <c r="D3" s="491"/>
      <c r="E3" s="73"/>
      <c r="F3" s="495"/>
      <c r="G3" s="496"/>
      <c r="H3" s="496"/>
      <c r="I3" s="496"/>
      <c r="J3" s="496"/>
      <c r="K3" s="496"/>
      <c r="L3" s="496"/>
      <c r="M3" s="496"/>
      <c r="N3" s="496"/>
      <c r="O3" s="496"/>
      <c r="P3" s="496"/>
      <c r="Q3" s="496"/>
      <c r="R3" s="496"/>
      <c r="S3" s="496"/>
      <c r="T3" s="497"/>
      <c r="U3" s="501" t="s">
        <v>163</v>
      </c>
      <c r="V3" s="502"/>
      <c r="W3" s="319"/>
      <c r="X3" s="319"/>
      <c r="Y3" s="1"/>
      <c r="Z3" s="1"/>
    </row>
    <row r="4" spans="1:74" ht="20.25" customHeight="1" x14ac:dyDescent="0.25">
      <c r="A4" s="491"/>
      <c r="B4" s="491"/>
      <c r="C4" s="491"/>
      <c r="D4" s="491"/>
      <c r="E4" s="74"/>
      <c r="F4" s="498"/>
      <c r="G4" s="499"/>
      <c r="H4" s="499"/>
      <c r="I4" s="499"/>
      <c r="J4" s="499"/>
      <c r="K4" s="499"/>
      <c r="L4" s="499"/>
      <c r="M4" s="499"/>
      <c r="N4" s="499"/>
      <c r="O4" s="499"/>
      <c r="P4" s="499"/>
      <c r="Q4" s="499"/>
      <c r="R4" s="499"/>
      <c r="S4" s="499"/>
      <c r="T4" s="500"/>
      <c r="U4" s="501" t="s">
        <v>2</v>
      </c>
      <c r="V4" s="502"/>
      <c r="W4" s="319"/>
      <c r="X4" s="319"/>
      <c r="Y4" s="1"/>
      <c r="Z4" s="1"/>
    </row>
    <row r="5" spans="1:74" ht="8.25" customHeight="1" x14ac:dyDescent="0.25">
      <c r="B5" s="3"/>
      <c r="C5" s="3"/>
      <c r="D5" s="3"/>
      <c r="E5" s="3"/>
      <c r="F5" s="4"/>
      <c r="G5" s="4"/>
      <c r="H5" s="4"/>
      <c r="I5" s="4"/>
      <c r="J5" s="4"/>
      <c r="K5" s="4"/>
      <c r="L5" s="4"/>
      <c r="M5" s="4"/>
      <c r="N5" s="4"/>
      <c r="O5" s="4"/>
      <c r="P5" s="4"/>
      <c r="Q5" s="4"/>
      <c r="Y5" s="6"/>
      <c r="Z5" s="6"/>
    </row>
    <row r="6" spans="1:74" ht="15" x14ac:dyDescent="0.25">
      <c r="A6" s="471" t="s">
        <v>3</v>
      </c>
      <c r="B6" s="471"/>
      <c r="C6" s="471"/>
      <c r="D6" s="471"/>
      <c r="E6" s="75"/>
      <c r="F6" s="485" t="str">
        <f>[12]IdentRiesgo!B2</f>
        <v>Gestión Financiera-Contabilidad</v>
      </c>
      <c r="G6" s="486"/>
      <c r="H6" s="486"/>
      <c r="I6" s="486"/>
      <c r="J6" s="486"/>
      <c r="K6" s="486"/>
      <c r="L6" s="486"/>
      <c r="M6" s="486"/>
      <c r="N6" s="486"/>
      <c r="O6" s="486"/>
      <c r="P6" s="486"/>
      <c r="Q6" s="486"/>
      <c r="R6" s="486"/>
      <c r="S6" s="486"/>
      <c r="T6" s="486"/>
      <c r="U6" s="486"/>
      <c r="V6" s="487"/>
      <c r="W6" s="141"/>
      <c r="X6" s="141"/>
      <c r="Y6" s="6"/>
      <c r="Z6" s="6"/>
    </row>
    <row r="7" spans="1:74" ht="6.75" customHeight="1" x14ac:dyDescent="0.25">
      <c r="B7" s="3"/>
      <c r="C7" s="3"/>
      <c r="D7" s="3"/>
      <c r="E7" s="3"/>
      <c r="F7" s="7"/>
      <c r="G7" s="7"/>
      <c r="H7" s="7"/>
      <c r="I7" s="7"/>
      <c r="J7" s="7"/>
      <c r="K7" s="7"/>
      <c r="L7" s="7"/>
      <c r="M7" s="7"/>
      <c r="N7" s="7"/>
      <c r="O7" s="7"/>
      <c r="P7" s="7"/>
      <c r="Q7" s="7"/>
      <c r="R7" s="8"/>
      <c r="S7" s="8"/>
      <c r="T7" s="8"/>
      <c r="U7" s="8"/>
      <c r="V7" s="8"/>
      <c r="W7" s="8"/>
      <c r="X7" s="8"/>
      <c r="Y7" s="6"/>
      <c r="Z7" s="6"/>
    </row>
    <row r="8" spans="1:74" ht="39.75" customHeight="1" x14ac:dyDescent="0.25">
      <c r="A8" s="471" t="s">
        <v>4</v>
      </c>
      <c r="B8" s="471"/>
      <c r="C8" s="471"/>
      <c r="D8" s="471"/>
      <c r="E8" s="75"/>
      <c r="F8" s="488" t="str">
        <f>[12]IdentRiesgo!B3</f>
        <v>Asegurar la oportuna provisión de recursos financieros necesarios para el autosostenimiento y desempeño eficaz y eficiente de la gestión financiera de la entidad mediante el registro de la ejecución presupuestal, la presentación de estados financieros y el recaudo de los ingresos y el pago de los compromisos.</v>
      </c>
      <c r="G8" s="489"/>
      <c r="H8" s="489"/>
      <c r="I8" s="489"/>
      <c r="J8" s="489"/>
      <c r="K8" s="489"/>
      <c r="L8" s="489"/>
      <c r="M8" s="489"/>
      <c r="N8" s="489"/>
      <c r="O8" s="489"/>
      <c r="P8" s="489"/>
      <c r="Q8" s="489"/>
      <c r="R8" s="489"/>
      <c r="S8" s="489"/>
      <c r="T8" s="489"/>
      <c r="U8" s="489"/>
      <c r="V8" s="490"/>
      <c r="W8" s="320"/>
      <c r="X8" s="320"/>
      <c r="Y8" s="9"/>
      <c r="Z8" s="9"/>
    </row>
    <row r="9" spans="1:74" ht="6.75" customHeight="1" x14ac:dyDescent="0.25">
      <c r="B9" s="10"/>
      <c r="C9" s="10"/>
      <c r="D9" s="10"/>
      <c r="E9" s="10"/>
      <c r="F9" s="11"/>
      <c r="G9" s="11"/>
      <c r="H9" s="11"/>
      <c r="I9" s="11"/>
      <c r="J9" s="11"/>
      <c r="K9" s="11"/>
      <c r="L9" s="11"/>
      <c r="M9" s="11"/>
      <c r="N9" s="11"/>
      <c r="O9" s="11"/>
      <c r="P9" s="11"/>
      <c r="Q9" s="11"/>
      <c r="R9" s="8"/>
      <c r="S9" s="8"/>
      <c r="T9" s="8"/>
      <c r="U9" s="8"/>
      <c r="V9" s="8"/>
      <c r="W9" s="8"/>
      <c r="X9" s="8"/>
      <c r="Y9" s="6"/>
      <c r="Z9" s="6"/>
    </row>
    <row r="10" spans="1:74" ht="15" x14ac:dyDescent="0.25">
      <c r="A10" s="471" t="s">
        <v>5</v>
      </c>
      <c r="B10" s="471"/>
      <c r="C10" s="471"/>
      <c r="D10" s="471"/>
      <c r="E10" s="75"/>
      <c r="F10" s="472" t="s">
        <v>221</v>
      </c>
      <c r="G10" s="473"/>
      <c r="H10" s="473"/>
      <c r="I10" s="473"/>
      <c r="J10" s="473"/>
      <c r="K10" s="473"/>
      <c r="L10" s="473"/>
      <c r="M10" s="473"/>
      <c r="N10" s="473"/>
      <c r="O10" s="473"/>
      <c r="P10" s="473"/>
      <c r="Q10" s="473"/>
      <c r="R10" s="473"/>
      <c r="S10" s="473"/>
      <c r="T10" s="473"/>
      <c r="U10" s="473"/>
      <c r="V10" s="474"/>
      <c r="W10" s="121"/>
      <c r="X10" s="121"/>
      <c r="Y10" s="12"/>
      <c r="Z10" s="12"/>
    </row>
    <row r="11" spans="1:74" ht="5.25" customHeight="1" x14ac:dyDescent="0.25">
      <c r="B11" s="3"/>
      <c r="C11" s="3"/>
      <c r="D11" s="3"/>
      <c r="E11" s="3"/>
      <c r="F11" s="13"/>
      <c r="G11" s="13"/>
      <c r="H11" s="13"/>
      <c r="I11" s="13"/>
      <c r="J11" s="13"/>
      <c r="K11" s="13"/>
      <c r="L11" s="13"/>
      <c r="M11" s="13"/>
      <c r="N11" s="13"/>
      <c r="O11" s="13"/>
      <c r="P11" s="13"/>
      <c r="Q11" s="13"/>
      <c r="R11" s="8"/>
      <c r="S11" s="8"/>
      <c r="T11" s="8"/>
      <c r="U11" s="8"/>
      <c r="V11" s="8"/>
      <c r="W11" s="8"/>
      <c r="X11" s="8"/>
      <c r="Y11" s="6"/>
      <c r="Z11" s="6"/>
    </row>
    <row r="12" spans="1:74" ht="15" x14ac:dyDescent="0.25">
      <c r="A12" s="471" t="s">
        <v>6</v>
      </c>
      <c r="B12" s="471"/>
      <c r="C12" s="471"/>
      <c r="D12" s="471"/>
      <c r="E12" s="75"/>
      <c r="F12" s="472" t="s">
        <v>278</v>
      </c>
      <c r="G12" s="473"/>
      <c r="H12" s="473"/>
      <c r="I12" s="473"/>
      <c r="J12" s="473"/>
      <c r="K12" s="473"/>
      <c r="L12" s="473"/>
      <c r="M12" s="473"/>
      <c r="N12" s="473"/>
      <c r="O12" s="473"/>
      <c r="P12" s="473"/>
      <c r="Q12" s="473"/>
      <c r="R12" s="473"/>
      <c r="S12" s="473"/>
      <c r="T12" s="473"/>
      <c r="U12" s="473"/>
      <c r="V12" s="473"/>
      <c r="W12" s="474"/>
      <c r="X12" s="121"/>
      <c r="Y12" s="12"/>
      <c r="Z12" s="12"/>
      <c r="AC12" s="2" t="s">
        <v>7</v>
      </c>
    </row>
    <row r="13" spans="1:74" ht="15.75" thickBot="1" x14ac:dyDescent="0.3">
      <c r="B13" s="3"/>
      <c r="C13" s="3"/>
      <c r="D13" s="3"/>
      <c r="E13" s="3"/>
      <c r="F13" s="14"/>
      <c r="G13" s="14"/>
      <c r="H13" s="15"/>
      <c r="I13" s="15"/>
      <c r="J13" s="15"/>
      <c r="K13" s="7"/>
      <c r="L13" s="15"/>
      <c r="M13" s="7"/>
      <c r="N13" s="7"/>
      <c r="O13" s="7"/>
      <c r="P13" s="7"/>
      <c r="Q13" s="7"/>
      <c r="R13" s="7"/>
      <c r="S13" s="15"/>
      <c r="T13" s="7"/>
      <c r="Y13" s="6"/>
      <c r="Z13" s="6"/>
      <c r="AC13" s="2" t="s">
        <v>8</v>
      </c>
      <c r="AI13" s="475" t="s">
        <v>9</v>
      </c>
      <c r="AJ13" s="475"/>
      <c r="AK13" s="475"/>
      <c r="AL13" s="475"/>
      <c r="AM13" s="475"/>
      <c r="AN13" s="475"/>
      <c r="AO13" s="475"/>
      <c r="AP13" s="475"/>
      <c r="AQ13" s="475"/>
      <c r="AR13" s="475"/>
      <c r="AS13" s="475"/>
      <c r="AT13" s="475"/>
      <c r="AU13" s="475"/>
      <c r="AV13" s="475"/>
      <c r="AW13" s="475"/>
      <c r="AX13" s="475"/>
      <c r="AY13" s="475"/>
      <c r="AZ13" s="475"/>
      <c r="BA13" s="475"/>
      <c r="BC13" s="475" t="s">
        <v>10</v>
      </c>
      <c r="BD13" s="475"/>
      <c r="BE13" s="475"/>
      <c r="BF13" s="475"/>
      <c r="BG13" s="475"/>
      <c r="BH13" s="475"/>
      <c r="BI13" s="475"/>
      <c r="BJ13" s="475"/>
      <c r="BK13" s="475"/>
      <c r="BL13" s="475"/>
      <c r="BM13" s="475"/>
      <c r="BN13" s="475"/>
      <c r="BO13" s="475"/>
      <c r="BP13" s="475"/>
      <c r="BQ13" s="475"/>
      <c r="BR13" s="475"/>
      <c r="BS13" s="475"/>
      <c r="BT13" s="475"/>
      <c r="BU13" s="475"/>
      <c r="BV13" s="475"/>
    </row>
    <row r="14" spans="1:74" s="17" customFormat="1" ht="15" customHeight="1" x14ac:dyDescent="0.25">
      <c r="A14" s="476" t="s">
        <v>11</v>
      </c>
      <c r="B14" s="477"/>
      <c r="C14" s="477"/>
      <c r="D14" s="478"/>
      <c r="E14" s="76"/>
      <c r="F14" s="479" t="s">
        <v>12</v>
      </c>
      <c r="G14" s="479"/>
      <c r="H14" s="479"/>
      <c r="I14" s="16"/>
      <c r="J14" s="16"/>
      <c r="K14" s="480" t="s">
        <v>13</v>
      </c>
      <c r="L14" s="476" t="s">
        <v>14</v>
      </c>
      <c r="M14" s="477"/>
      <c r="N14" s="478"/>
      <c r="O14" s="93"/>
      <c r="P14" s="483" t="s">
        <v>15</v>
      </c>
      <c r="Q14" s="483"/>
      <c r="R14" s="483"/>
      <c r="S14" s="483" t="s">
        <v>16</v>
      </c>
      <c r="T14" s="483"/>
      <c r="U14" s="483"/>
      <c r="V14" s="483"/>
      <c r="W14" s="321"/>
      <c r="X14" s="321"/>
    </row>
    <row r="15" spans="1:74" s="17" customFormat="1" ht="14.25" customHeight="1" x14ac:dyDescent="0.25">
      <c r="A15" s="481" t="s">
        <v>17</v>
      </c>
      <c r="B15" s="481" t="s">
        <v>18</v>
      </c>
      <c r="C15" s="94"/>
      <c r="D15" s="481" t="s">
        <v>19</v>
      </c>
      <c r="E15" s="94"/>
      <c r="F15" s="461" t="s">
        <v>20</v>
      </c>
      <c r="G15" s="461"/>
      <c r="H15" s="461"/>
      <c r="I15" s="97"/>
      <c r="J15" s="18"/>
      <c r="K15" s="481"/>
      <c r="L15" s="466" t="s">
        <v>21</v>
      </c>
      <c r="M15" s="467"/>
      <c r="N15" s="468"/>
      <c r="O15" s="98"/>
      <c r="P15" s="466" t="s">
        <v>22</v>
      </c>
      <c r="Q15" s="467"/>
      <c r="R15" s="468"/>
      <c r="S15" s="461" t="s">
        <v>23</v>
      </c>
      <c r="T15" s="461" t="s">
        <v>24</v>
      </c>
      <c r="U15" s="461" t="s">
        <v>5</v>
      </c>
      <c r="V15" s="461" t="s">
        <v>25</v>
      </c>
      <c r="W15" s="446"/>
      <c r="X15" s="291"/>
    </row>
    <row r="16" spans="1:74" s="17" customFormat="1" ht="63" customHeight="1" x14ac:dyDescent="0.25">
      <c r="A16" s="484"/>
      <c r="B16" s="484"/>
      <c r="C16" s="96" t="s">
        <v>77</v>
      </c>
      <c r="D16" s="484"/>
      <c r="E16" s="96" t="s">
        <v>78</v>
      </c>
      <c r="F16" s="18" t="s">
        <v>26</v>
      </c>
      <c r="G16" s="97" t="s">
        <v>77</v>
      </c>
      <c r="H16" s="18" t="s">
        <v>10</v>
      </c>
      <c r="I16" s="97" t="s">
        <v>77</v>
      </c>
      <c r="J16" s="18" t="s">
        <v>27</v>
      </c>
      <c r="K16" s="482"/>
      <c r="L16" s="19" t="s">
        <v>26</v>
      </c>
      <c r="M16" s="19" t="s">
        <v>10</v>
      </c>
      <c r="N16" s="20" t="s">
        <v>27</v>
      </c>
      <c r="O16" s="96" t="s">
        <v>81</v>
      </c>
      <c r="P16" s="18" t="s">
        <v>28</v>
      </c>
      <c r="Q16" s="18" t="s">
        <v>24</v>
      </c>
      <c r="R16" s="18" t="s">
        <v>29</v>
      </c>
      <c r="S16" s="461"/>
      <c r="T16" s="461"/>
      <c r="U16" s="461"/>
      <c r="V16" s="461"/>
      <c r="W16" s="446"/>
      <c r="X16" s="291"/>
    </row>
    <row r="17" spans="1:24" ht="151.5" customHeight="1" x14ac:dyDescent="0.25">
      <c r="A17" s="105" t="str">
        <f>IF(ISTEXT([13]IdentificaciónRiesgos!$B10),[13]IdentificaciónRiesgos!$A10,"")</f>
        <v>Ofrecimiento de prevendas al funcionario encargado del establecimiento de los indicadores</v>
      </c>
      <c r="B17" s="105" t="str">
        <f>IF(ISTEXT([13]IdentificaciónRiesgos!$B10),[13]IdentificaciónRiesgos!$B10,"")</f>
        <v>Favorecimiento económico a terceros en las licitaciones del Instituto.</v>
      </c>
      <c r="C17" s="105" t="str">
        <f>IF(ISTEXT([13]IdentificaciónRiesgos!$B10),[13]IdentificaciónRiesgos!$C10,"")</f>
        <v>Establecer los indicadores financieros de las diferentes licitaciones sin el debido análisis del sector económico del SIREM.</v>
      </c>
      <c r="D17" s="105" t="str">
        <f>IF(ISTEXT([13]IdentificaciónRiesgos!$B10),[13]IdentificaciónRiesgos!$D10,"")</f>
        <v>Corrupción de Funcionario y/o contratista del grupo de contabilidad y sanciones disciplinarias por parte de los entes de control</v>
      </c>
      <c r="E17" s="107" t="str">
        <f>IF(ISTEXT([13]IdentificaciónRiesgos!$B10),VLOOKUP($C17,[13]DefiniciónRiesgos!$A$4:$F$9,6,FALSE),"")</f>
        <v>RIESGO DE CORRUPCIÓN</v>
      </c>
      <c r="F17" s="266">
        <f>IF(ISTEXT([13]IdentificaciónRiesgos!$B10),IF(EXACT([13]AnálisisRiesgos!$B13,"X"),5,IF(EXACT([13]AnálisisRiesgos!$C13,"X"),4,IF(EXACT([13]AnálisisRiesgos!$D13,"X"),3,IF(EXACT([13]AnálisisRiesgos!$E13,"X"),2,IF(EXACT([13]AnálisisRiesgos!$F13,"X"),1,""))))),"")</f>
        <v>1</v>
      </c>
      <c r="G17" s="266" t="str">
        <f t="shared" ref="G17:G18" si="0">IF(EXACT($F17,5),"Casí Seguro",IF(EXACT($F17,4),"Probable",IF(EXACT($F17,3),"Posible",IF(EXACT($F17,2),"Improbable","Rara Vez"))))</f>
        <v>Rara Vez</v>
      </c>
      <c r="H17" s="264">
        <f>IF(EXACT($B17,""),"",IF(EXACT($E17,"RIESGO DE GESTIÓN"),IF(EXACT([13]AnálisisRiesgos!$G13,"X"),5,IF(EXACT([13]AnálisisRiesgos!$H13,"X"),4,IF(EXACT([13]AnálisisRiesgos!$I13,"X"),3,IF(EXACT([13]AnálisisRiesgos!$J13,"X"),2,1)))),IF(EXACT([13]AnálisisRiesgos!$L13,"X"),20,IF(EXACT([13]AnálisisRiesgos!$M13,"X"),10,5))))</f>
        <v>10</v>
      </c>
      <c r="I17" s="106" t="str">
        <f t="shared" ref="I17:I18" si="1">IF(EXACT($E17,"RIESGO DE GESTIÓN"),IF(EXACT($H17,1),"Insignificante",IF(EXACT($H17,2),"Menor",IF(EXACT($H17,3),"Moderado",IF(EXACT($H17,4),"Mayor","Catastrófico")))),IF(EXACT($H17,5),"Moderado",IF(EXACT($H17,10),"Mayor","Catastrófico")))</f>
        <v>Mayor</v>
      </c>
      <c r="J17" s="343" t="s">
        <v>40</v>
      </c>
      <c r="K17" s="112" t="s">
        <v>52</v>
      </c>
      <c r="L17" s="520" t="s">
        <v>10</v>
      </c>
      <c r="M17" s="521"/>
      <c r="N17" s="265" t="s">
        <v>40</v>
      </c>
      <c r="O17" s="109" t="s">
        <v>104</v>
      </c>
      <c r="P17" s="110" t="s">
        <v>57</v>
      </c>
      <c r="Q17" s="112" t="s">
        <v>105</v>
      </c>
      <c r="R17" s="112" t="s">
        <v>53</v>
      </c>
      <c r="S17" s="267"/>
      <c r="T17" s="111"/>
      <c r="U17" s="111" t="s">
        <v>256</v>
      </c>
      <c r="V17" s="113" t="s">
        <v>257</v>
      </c>
      <c r="W17" s="112"/>
      <c r="X17" s="322"/>
    </row>
    <row r="18" spans="1:24" ht="242.25" customHeight="1" x14ac:dyDescent="0.25">
      <c r="A18" s="107" t="str">
        <f>IF(ISTEXT([13]IdentificaciónRiesgos!$B11),[13]IdentificaciónRiesgos!$A11,"")</f>
        <v>Ofrecimiento de prevendas al funcionario encargado de la amortizacion de los anticipos</v>
      </c>
      <c r="B18" s="107" t="str">
        <f>IF(ISTEXT([13]IdentificaciónRiesgos!$B11),[13]IdentificaciónRiesgos!$B11,"")</f>
        <v xml:space="preserve">Favorecer a los proveedores de contratos con la bolsa mercantil. </v>
      </c>
      <c r="C18" s="107" t="str">
        <f>IF(ISTEXT([13]IdentificaciónRiesgos!$B11),[13]IdentificaciónRiesgos!$C11,"")</f>
        <v>Autorizar los desembolsos a los proveedores de contratos con la bolsa mercantil sin el lleno de los requisitos legales.</v>
      </c>
      <c r="D18" s="107" t="str">
        <f>IF(ISTEXT([13]IdentificaciónRiesgos!$B11),[13]IdentificaciónRiesgos!$D11,"")</f>
        <v>Corrupción de Funcionario y/o contratista del grupo de contabilidad y sanciones disciplinarias por parte de los entes de control</v>
      </c>
      <c r="E18" s="107" t="str">
        <f>IF(ISTEXT([13]IdentificaciónRiesgos!$B11),VLOOKUP($C18,[13]DefiniciónRiesgos!$A$4:$F$9,6,FALSE),"")</f>
        <v>RIESGO DE CORRUPCIÓN</v>
      </c>
      <c r="F18" s="266">
        <f>IF(ISTEXT([13]IdentificaciónRiesgos!$B11),IF(EXACT([13]AnálisisRiesgos!$B14,"X"),5,IF(EXACT([13]AnálisisRiesgos!$C14,"X"),4,IF(EXACT([13]AnálisisRiesgos!$D14,"X"),3,IF(EXACT([13]AnálisisRiesgos!$E14,"X"),2,IF(EXACT([13]AnálisisRiesgos!$F14,"X"),1,""))))),"")</f>
        <v>1</v>
      </c>
      <c r="G18" s="266" t="str">
        <f t="shared" si="0"/>
        <v>Rara Vez</v>
      </c>
      <c r="H18" s="264">
        <f>IF(EXACT($B18,""),"",IF(EXACT($E18,"RIESGO DE GESTIÓN"),IF(EXACT([13]AnálisisRiesgos!$G14,"X"),5,IF(EXACT([13]AnálisisRiesgos!$H14,"X"),4,IF(EXACT([13]AnálisisRiesgos!$I14,"X"),3,IF(EXACT([13]AnálisisRiesgos!$J14,"X"),2,1)))),IF(EXACT([13]AnálisisRiesgos!$L14,"X"),20,IF(EXACT([13]AnálisisRiesgos!$M14,"X"),10,5))))</f>
        <v>10</v>
      </c>
      <c r="I18" s="264" t="str">
        <f t="shared" si="1"/>
        <v>Mayor</v>
      </c>
      <c r="J18" s="265" t="s">
        <v>40</v>
      </c>
      <c r="K18" s="108" t="s">
        <v>54</v>
      </c>
      <c r="L18" s="520" t="s">
        <v>10</v>
      </c>
      <c r="M18" s="521"/>
      <c r="N18" s="265" t="s">
        <v>40</v>
      </c>
      <c r="O18" s="109" t="s">
        <v>104</v>
      </c>
      <c r="P18" s="110" t="s">
        <v>57</v>
      </c>
      <c r="Q18" s="110" t="s">
        <v>105</v>
      </c>
      <c r="R18" s="110" t="s">
        <v>53</v>
      </c>
      <c r="S18" s="267"/>
      <c r="T18" s="111"/>
      <c r="U18" s="111" t="s">
        <v>256</v>
      </c>
      <c r="V18" s="113" t="s">
        <v>257</v>
      </c>
      <c r="W18" s="112"/>
      <c r="X18" s="322"/>
    </row>
    <row r="19" spans="1:24" ht="149.25" customHeight="1" x14ac:dyDescent="0.25">
      <c r="A19" s="125"/>
      <c r="B19" s="126"/>
      <c r="C19" s="126"/>
      <c r="D19" s="126"/>
      <c r="E19" s="126"/>
      <c r="F19" s="518" t="s">
        <v>26</v>
      </c>
      <c r="G19" s="244"/>
      <c r="H19" s="519" t="s">
        <v>10</v>
      </c>
      <c r="I19" s="519"/>
      <c r="J19" s="519"/>
      <c r="K19" s="519"/>
      <c r="L19" s="125"/>
      <c r="M19" s="226"/>
      <c r="N19" s="342"/>
      <c r="O19" s="226"/>
      <c r="P19" s="226"/>
      <c r="Q19" s="242"/>
      <c r="R19" s="226"/>
      <c r="S19" s="226"/>
      <c r="T19" s="226"/>
    </row>
    <row r="20" spans="1:24" ht="128.25" customHeight="1" x14ac:dyDescent="0.25">
      <c r="A20" s="327"/>
      <c r="B20" s="338" t="s">
        <v>34</v>
      </c>
      <c r="C20" s="338"/>
      <c r="D20" s="338"/>
      <c r="E20" s="338"/>
      <c r="F20" s="518"/>
      <c r="G20" s="244"/>
      <c r="H20" s="339" t="s">
        <v>35</v>
      </c>
      <c r="I20" s="339"/>
      <c r="J20" s="340" t="s">
        <v>36</v>
      </c>
      <c r="K20" s="339" t="s">
        <v>37</v>
      </c>
      <c r="L20" s="341"/>
      <c r="M20" s="125"/>
      <c r="N20" s="125"/>
      <c r="O20" s="125"/>
      <c r="P20" s="125"/>
      <c r="Q20" s="327"/>
      <c r="R20" s="125"/>
      <c r="S20" s="125"/>
      <c r="T20" s="125"/>
      <c r="U20" s="125"/>
      <c r="V20" s="125"/>
      <c r="W20" s="429"/>
      <c r="X20" s="125"/>
    </row>
    <row r="21" spans="1:24" ht="32.25" customHeight="1" thickBot="1" x14ac:dyDescent="0.3">
      <c r="B21" s="5" t="s">
        <v>38</v>
      </c>
      <c r="C21" s="5"/>
      <c r="F21" s="335" t="s">
        <v>39</v>
      </c>
      <c r="G21" s="335"/>
      <c r="H21" s="336" t="s">
        <v>40</v>
      </c>
      <c r="I21" s="336"/>
      <c r="J21" s="336" t="s">
        <v>40</v>
      </c>
      <c r="K21" s="337" t="s">
        <v>41</v>
      </c>
      <c r="L21" s="2"/>
      <c r="M21" s="125"/>
      <c r="N21" s="125"/>
      <c r="O21" s="125"/>
      <c r="P21" s="125"/>
      <c r="Q21" s="327"/>
      <c r="R21" s="125"/>
      <c r="S21" s="125"/>
      <c r="T21" s="125"/>
      <c r="U21" s="125"/>
      <c r="V21" s="125"/>
      <c r="W21" s="429"/>
      <c r="X21" s="125"/>
    </row>
    <row r="22" spans="1:24" ht="15.75" thickBot="1" x14ac:dyDescent="0.3">
      <c r="F22" s="35" t="s">
        <v>42</v>
      </c>
      <c r="G22" s="35"/>
      <c r="H22" s="36" t="s">
        <v>40</v>
      </c>
      <c r="I22" s="36"/>
      <c r="J22" s="37" t="s">
        <v>41</v>
      </c>
      <c r="K22" s="38" t="s">
        <v>43</v>
      </c>
      <c r="L22" s="2"/>
      <c r="M22" s="125"/>
      <c r="N22" s="125"/>
      <c r="O22" s="125"/>
      <c r="P22" s="125"/>
      <c r="Q22" s="327"/>
      <c r="R22" s="125"/>
      <c r="S22" s="125"/>
      <c r="T22" s="125"/>
      <c r="U22" s="125"/>
      <c r="V22" s="125"/>
      <c r="W22" s="429"/>
      <c r="X22" s="125"/>
    </row>
    <row r="23" spans="1:24" ht="15.75" thickBot="1" x14ac:dyDescent="0.3">
      <c r="F23" s="35" t="s">
        <v>44</v>
      </c>
      <c r="G23" s="35"/>
      <c r="H23" s="37" t="s">
        <v>41</v>
      </c>
      <c r="I23" s="37"/>
      <c r="J23" s="38" t="s">
        <v>43</v>
      </c>
      <c r="K23" s="39" t="s">
        <v>45</v>
      </c>
      <c r="L23" s="2"/>
      <c r="M23" s="125"/>
      <c r="N23" s="125"/>
      <c r="O23" s="125"/>
      <c r="P23" s="125"/>
      <c r="Q23" s="327"/>
      <c r="R23" s="125"/>
      <c r="S23" s="125"/>
      <c r="T23" s="125"/>
      <c r="U23" s="125"/>
      <c r="V23" s="125"/>
      <c r="W23" s="429"/>
      <c r="X23" s="125"/>
    </row>
    <row r="24" spans="1:24" ht="15.75" thickBot="1" x14ac:dyDescent="0.3">
      <c r="F24" s="35" t="s">
        <v>46</v>
      </c>
      <c r="G24" s="35"/>
      <c r="H24" s="37" t="s">
        <v>41</v>
      </c>
      <c r="I24" s="37"/>
      <c r="J24" s="38" t="s">
        <v>43</v>
      </c>
      <c r="K24" s="39" t="s">
        <v>45</v>
      </c>
      <c r="L24" s="2"/>
      <c r="M24" s="125"/>
      <c r="N24" s="125"/>
      <c r="O24" s="125"/>
      <c r="P24" s="125"/>
      <c r="Q24" s="327"/>
      <c r="R24" s="125"/>
      <c r="S24" s="125"/>
      <c r="T24" s="125"/>
      <c r="U24" s="125"/>
      <c r="V24" s="125"/>
      <c r="W24" s="429"/>
      <c r="X24" s="125"/>
    </row>
    <row r="25" spans="1:24" ht="15.75" thickBot="1" x14ac:dyDescent="0.3">
      <c r="F25" s="35" t="s">
        <v>47</v>
      </c>
      <c r="G25" s="35"/>
      <c r="H25" s="37" t="s">
        <v>41</v>
      </c>
      <c r="I25" s="37"/>
      <c r="J25" s="38" t="s">
        <v>43</v>
      </c>
      <c r="K25" s="39" t="s">
        <v>45</v>
      </c>
      <c r="L25" s="2"/>
      <c r="M25" s="125"/>
      <c r="N25" s="125"/>
      <c r="O25" s="125"/>
      <c r="P25" s="125"/>
      <c r="Q25" s="327"/>
      <c r="R25" s="125"/>
      <c r="S25" s="125"/>
      <c r="T25" s="125"/>
      <c r="U25" s="125"/>
      <c r="V25" s="125"/>
      <c r="W25" s="429"/>
      <c r="X25" s="125"/>
    </row>
    <row r="26" spans="1:24" x14ac:dyDescent="0.25">
      <c r="F26" s="2"/>
      <c r="G26" s="2"/>
      <c r="H26" s="2"/>
      <c r="I26" s="2"/>
      <c r="J26" s="2"/>
      <c r="K26" s="5"/>
      <c r="M26" s="327"/>
      <c r="N26" s="125"/>
      <c r="O26" s="125"/>
      <c r="P26" s="125"/>
      <c r="Q26" s="125"/>
      <c r="R26" s="125"/>
      <c r="S26" s="327"/>
      <c r="T26" s="125"/>
      <c r="U26" s="125"/>
      <c r="V26" s="125"/>
      <c r="W26" s="429"/>
      <c r="X26" s="125"/>
    </row>
    <row r="27" spans="1:24" ht="15" x14ac:dyDescent="0.25">
      <c r="F27" s="40" t="s">
        <v>48</v>
      </c>
      <c r="G27" s="40"/>
      <c r="H27" s="2"/>
      <c r="I27" s="2"/>
      <c r="J27" s="2"/>
      <c r="K27" s="5"/>
      <c r="M27" s="327"/>
      <c r="N27" s="327"/>
      <c r="O27" s="327"/>
      <c r="P27" s="327"/>
      <c r="Q27" s="125"/>
      <c r="R27" s="125"/>
      <c r="S27" s="327"/>
      <c r="T27" s="125"/>
      <c r="U27" s="125"/>
      <c r="V27" s="125"/>
      <c r="W27" s="429"/>
      <c r="X27" s="125"/>
    </row>
    <row r="28" spans="1:24" ht="15" x14ac:dyDescent="0.25">
      <c r="F28" s="41" t="s">
        <v>49</v>
      </c>
      <c r="G28" s="41"/>
      <c r="H28" s="2"/>
      <c r="I28" s="2"/>
      <c r="J28" s="2"/>
      <c r="K28" s="5"/>
      <c r="M28" s="327"/>
      <c r="N28" s="327"/>
      <c r="O28" s="327"/>
      <c r="P28" s="327"/>
      <c r="Q28" s="125"/>
      <c r="R28" s="125"/>
      <c r="S28" s="327"/>
      <c r="T28" s="125"/>
      <c r="U28" s="125"/>
      <c r="V28" s="125"/>
      <c r="W28" s="429"/>
      <c r="X28" s="125"/>
    </row>
    <row r="29" spans="1:24" ht="15" x14ac:dyDescent="0.25">
      <c r="F29" s="42" t="s">
        <v>50</v>
      </c>
      <c r="G29" s="42"/>
      <c r="H29" s="2"/>
      <c r="I29" s="2"/>
      <c r="J29" s="2"/>
      <c r="K29" s="5"/>
      <c r="M29" s="327"/>
      <c r="N29" s="327"/>
      <c r="O29" s="327"/>
      <c r="P29" s="327"/>
      <c r="Q29" s="125"/>
      <c r="R29" s="125"/>
      <c r="S29" s="327"/>
      <c r="T29" s="125"/>
      <c r="U29" s="125"/>
      <c r="V29" s="125"/>
      <c r="W29" s="429"/>
      <c r="X29" s="125"/>
    </row>
    <row r="30" spans="1:24" ht="15" x14ac:dyDescent="0.25">
      <c r="F30" s="43" t="s">
        <v>51</v>
      </c>
      <c r="G30" s="43"/>
      <c r="H30" s="2"/>
      <c r="I30" s="2"/>
      <c r="J30" s="2"/>
      <c r="K30" s="5"/>
      <c r="M30" s="327"/>
      <c r="N30" s="327"/>
      <c r="O30" s="327"/>
      <c r="P30" s="327"/>
      <c r="Q30" s="125"/>
      <c r="R30" s="125"/>
      <c r="S30" s="327"/>
      <c r="T30" s="125"/>
      <c r="U30" s="125"/>
      <c r="V30" s="125"/>
      <c r="W30" s="429"/>
      <c r="X30" s="125"/>
    </row>
  </sheetData>
  <mergeCells count="36">
    <mergeCell ref="F12:W12"/>
    <mergeCell ref="T15:T16"/>
    <mergeCell ref="U15:U16"/>
    <mergeCell ref="V15:V16"/>
    <mergeCell ref="F19:F20"/>
    <mergeCell ref="H19:K19"/>
    <mergeCell ref="P15:R15"/>
    <mergeCell ref="L17:M17"/>
    <mergeCell ref="L18:M18"/>
    <mergeCell ref="A12:D12"/>
    <mergeCell ref="AI13:BA13"/>
    <mergeCell ref="BC13:BV13"/>
    <mergeCell ref="A14:D14"/>
    <mergeCell ref="F14:H14"/>
    <mergeCell ref="K14:K16"/>
    <mergeCell ref="L14:N14"/>
    <mergeCell ref="P14:R14"/>
    <mergeCell ref="S14:V14"/>
    <mergeCell ref="A15:A16"/>
    <mergeCell ref="B15:B16"/>
    <mergeCell ref="D15:D16"/>
    <mergeCell ref="F15:H15"/>
    <mergeCell ref="L15:N15"/>
    <mergeCell ref="S15:S16"/>
    <mergeCell ref="A6:D6"/>
    <mergeCell ref="F6:V6"/>
    <mergeCell ref="A8:D8"/>
    <mergeCell ref="F8:V8"/>
    <mergeCell ref="A10:D10"/>
    <mergeCell ref="F10:V10"/>
    <mergeCell ref="A1:D4"/>
    <mergeCell ref="F1:T4"/>
    <mergeCell ref="U1:V1"/>
    <mergeCell ref="U2:V2"/>
    <mergeCell ref="U3:V3"/>
    <mergeCell ref="U4:V4"/>
  </mergeCells>
  <conditionalFormatting sqref="J17:J18 N17:N18">
    <cfRule type="containsText" dxfId="63" priority="13" operator="containsText" text="E">
      <formula>NOT(ISERROR(SEARCH("E",J17)))</formula>
    </cfRule>
    <cfRule type="containsText" dxfId="62" priority="14" operator="containsText" text="M">
      <formula>NOT(ISERROR(SEARCH("M",J17)))</formula>
    </cfRule>
    <cfRule type="containsText" dxfId="61" priority="15" operator="containsText" text="A">
      <formula>NOT(ISERROR(SEARCH("A",J17)))</formula>
    </cfRule>
    <cfRule type="containsText" dxfId="60" priority="16" operator="containsText" text="B">
      <formula>NOT(ISERROR(SEARCH("B",J17)))</formula>
    </cfRule>
  </conditionalFormatting>
  <dataValidations count="1">
    <dataValidation type="list" allowBlank="1" showInputMessage="1" showErrorMessage="1" promptTitle="AFECTA A:" prompt="Seleccione según a quien afecte el control" sqref="L17:M18">
      <formula1>#REF!</formula1>
    </dataValidation>
  </dataValidations>
  <pageMargins left="0.7" right="0.7" top="0.75" bottom="0.75" header="0.3" footer="0.3"/>
  <pageSetup scale="1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MapaRiesgos Gest Comunicaci</vt:lpstr>
      <vt:lpstr>MapaRiesgos Gest Planeación</vt:lpstr>
      <vt:lpstr>MapaRiesgos Gener datos e inf </vt:lpstr>
      <vt:lpstr>MapaRiesgos Gen Conoci e Inv </vt:lpstr>
      <vt:lpstr>Hoja3</vt:lpstr>
      <vt:lpstr>Mapa Riesgos Acreditac. de labo</vt:lpstr>
      <vt:lpstr>MapaRiesgos Atención ciudadano</vt:lpstr>
      <vt:lpstr>MapaRiesgos Gest Juríd Contract</vt:lpstr>
      <vt:lpstr>MapaRiesgos Gest Finan-Contab</vt:lpstr>
      <vt:lpstr>MapaRiesgos Gest Finan-Presupue</vt:lpstr>
      <vt:lpstr>MapaRiesgos Gest Finan-Tesorerí</vt:lpstr>
      <vt:lpstr>MapaRiesgos Gest Informática</vt:lpstr>
      <vt:lpstr>MapaRiesgos Gest Recursos Físic</vt:lpstr>
      <vt:lpstr>MapaRiesgos Gest Des Talento H</vt:lpstr>
      <vt:lpstr>MapaRiesgo Gest Cont Discip Int</vt:lpstr>
      <vt:lpstr>MapaRiesgos Gest Mejoram Contin</vt:lpstr>
      <vt:lpstr>Hoja2</vt: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Sirley Johana Corredor Monsalve</dc:creator>
  <cp:lastModifiedBy>Hector Nemesio Angarita Niño</cp:lastModifiedBy>
  <cp:lastPrinted>2017-12-04T17:10:35Z</cp:lastPrinted>
  <dcterms:created xsi:type="dcterms:W3CDTF">2016-03-29T14:13:21Z</dcterms:created>
  <dcterms:modified xsi:type="dcterms:W3CDTF">2018-01-30T20:52:11Z</dcterms:modified>
</cp:coreProperties>
</file>