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6605" windowHeight="9435"/>
  </bookViews>
  <sheets>
    <sheet name="MapaRiesgos Gest Comunicaci" sheetId="21" r:id="rId1"/>
    <sheet name="MapaRiesgos Gest Planeación" sheetId="20" r:id="rId2"/>
    <sheet name="MapaRiesgos Gener datos e inf " sheetId="17" r:id="rId3"/>
    <sheet name="MapaRiesgos Gen Conoci e Inv " sheetId="18" r:id="rId4"/>
    <sheet name="MapaRiesgos Servicios" sheetId="19" r:id="rId5"/>
    <sheet name="MapaRiesgos Atención ciudadano" sheetId="24" r:id="rId6"/>
    <sheet name="MapaRiesgos Gest Documental" sheetId="22" r:id="rId7"/>
    <sheet name="MapaRiesgos Gest Juríd Contract" sheetId="7" r:id="rId8"/>
    <sheet name="MapaRiesgos Gest Finan-Contab" sheetId="5" r:id="rId9"/>
    <sheet name="MapaRiesgos Gest Finan-Presupue" sheetId="15" r:id="rId10"/>
    <sheet name="MapaRiesgos Gest Finan-Tesorerí" sheetId="13" r:id="rId11"/>
    <sheet name="MapaRiesgos Gest Informática" sheetId="8" r:id="rId12"/>
    <sheet name="MapaRiesgos Gest Recursos Físic" sheetId="9" r:id="rId13"/>
    <sheet name="MapaRiesgos Gest Des Talento H" sheetId="10" r:id="rId14"/>
    <sheet name="MapaRiesgo Gest Cont Discip Int" sheetId="12" r:id="rId15"/>
    <sheet name="MapaRiesgos Gest Mejoram Contin" sheetId="16" r:id="rId16"/>
    <sheet name="Hoja1" sheetId="25"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calcPr calcId="145621"/>
</workbook>
</file>

<file path=xl/calcChain.xml><?xml version="1.0" encoding="utf-8"?>
<calcChain xmlns="http://schemas.openxmlformats.org/spreadsheetml/2006/main">
  <c r="C18" i="12" l="1"/>
  <c r="B18" i="12"/>
  <c r="A18" i="12"/>
  <c r="D18" i="16" l="1"/>
  <c r="C18" i="16"/>
  <c r="B18" i="16"/>
  <c r="A18" i="16"/>
  <c r="C17" i="16"/>
  <c r="B17" i="16"/>
  <c r="A17" i="16"/>
  <c r="D6" i="24" l="1"/>
  <c r="D8" i="24"/>
  <c r="A17" i="24"/>
  <c r="B17" i="24"/>
  <c r="C17" i="24"/>
  <c r="D17" i="24"/>
  <c r="E17" i="24"/>
  <c r="S17" i="24" s="1"/>
  <c r="A18" i="24"/>
  <c r="B18" i="24"/>
  <c r="C18" i="24"/>
  <c r="D18" i="24"/>
  <c r="Z18" i="24" s="1"/>
  <c r="E18" i="24"/>
  <c r="AQ18" i="24"/>
  <c r="BD18" i="24"/>
  <c r="A19" i="24"/>
  <c r="B19" i="24"/>
  <c r="C19" i="24"/>
  <c r="D19" i="24"/>
  <c r="E19" i="24"/>
  <c r="S19" i="24" s="1"/>
  <c r="BL19" i="24"/>
  <c r="BF19" i="24" l="1"/>
  <c r="BJ18" i="24"/>
  <c r="AX18" i="24"/>
  <c r="AM18" i="24"/>
  <c r="AB18" i="24"/>
  <c r="AG18" i="24"/>
  <c r="U18" i="24"/>
  <c r="BJ19" i="24"/>
  <c r="BD19" i="24"/>
  <c r="AX19" i="24"/>
  <c r="AP19" i="24"/>
  <c r="AF19" i="24"/>
  <c r="U19" i="24"/>
  <c r="BL18" i="24"/>
  <c r="BF18" i="24"/>
  <c r="BB18" i="24"/>
  <c r="AV18" i="24"/>
  <c r="AO18" i="24"/>
  <c r="AI18" i="24"/>
  <c r="AD18" i="24"/>
  <c r="S18" i="24"/>
  <c r="BB19" i="24"/>
  <c r="AV19" i="24"/>
  <c r="AJ19" i="24"/>
  <c r="AA19" i="24"/>
  <c r="BL17" i="24"/>
  <c r="BJ17" i="24"/>
  <c r="BF17" i="24"/>
  <c r="BD17" i="24"/>
  <c r="BB17" i="24"/>
  <c r="AX17" i="24"/>
  <c r="AV17" i="24"/>
  <c r="AQ17" i="24"/>
  <c r="AO17" i="24"/>
  <c r="AM17" i="24"/>
  <c r="AI17" i="24"/>
  <c r="AG17" i="24"/>
  <c r="AD17" i="24"/>
  <c r="AB17" i="24"/>
  <c r="Z17" i="24"/>
  <c r="V17" i="24"/>
  <c r="T17" i="24"/>
  <c r="BM19" i="24"/>
  <c r="BK19" i="24"/>
  <c r="BI19" i="24"/>
  <c r="BE19" i="24"/>
  <c r="BC19" i="24"/>
  <c r="AY19" i="24"/>
  <c r="AW19" i="24"/>
  <c r="AU19" i="24"/>
  <c r="AN19" i="24"/>
  <c r="AH19" i="24"/>
  <c r="AC19" i="24"/>
  <c r="W19" i="24"/>
  <c r="T19" i="24"/>
  <c r="BM18" i="24"/>
  <c r="BK18" i="24"/>
  <c r="BI18" i="24"/>
  <c r="BE18" i="24"/>
  <c r="BC18" i="24"/>
  <c r="AY18" i="24"/>
  <c r="AW18" i="24"/>
  <c r="AU18" i="24"/>
  <c r="AP18" i="24"/>
  <c r="AN18" i="24"/>
  <c r="AJ18" i="24"/>
  <c r="AH18" i="24"/>
  <c r="AF18" i="24"/>
  <c r="AC18" i="24"/>
  <c r="AA18" i="24"/>
  <c r="J18" i="24" s="1"/>
  <c r="W18" i="24"/>
  <c r="T18" i="24"/>
  <c r="BM17" i="24"/>
  <c r="BK17" i="24"/>
  <c r="BI17" i="24"/>
  <c r="BE17" i="24"/>
  <c r="BC17" i="24"/>
  <c r="AY17" i="24"/>
  <c r="AW17" i="24"/>
  <c r="AU17" i="24"/>
  <c r="AP17" i="24"/>
  <c r="AN17" i="24"/>
  <c r="AJ17" i="24"/>
  <c r="AH17" i="24"/>
  <c r="AF17" i="24"/>
  <c r="AC17" i="24"/>
  <c r="AA17" i="24"/>
  <c r="W17" i="24"/>
  <c r="U17" i="24"/>
  <c r="AQ19" i="24"/>
  <c r="AO19" i="24"/>
  <c r="AM19" i="24"/>
  <c r="AI19" i="24"/>
  <c r="AG19" i="24"/>
  <c r="AD19" i="24"/>
  <c r="AB19" i="24"/>
  <c r="Z19" i="24"/>
  <c r="V19" i="24"/>
  <c r="F19" i="24" s="1"/>
  <c r="V18" i="24"/>
  <c r="F17" i="24" l="1"/>
  <c r="F18" i="24"/>
  <c r="J17" i="24"/>
  <c r="J19" i="24"/>
  <c r="E18" i="22" l="1"/>
  <c r="D18" i="22"/>
  <c r="C18" i="22"/>
  <c r="B18" i="22"/>
  <c r="A18" i="22"/>
  <c r="E17" i="22"/>
  <c r="D17" i="22"/>
  <c r="C17" i="22"/>
  <c r="B17" i="22"/>
  <c r="A17" i="22"/>
  <c r="D8" i="22"/>
  <c r="D6" i="22"/>
  <c r="AM17" i="22" l="1"/>
  <c r="AX17" i="22"/>
  <c r="V17" i="22"/>
  <c r="AQ17" i="22"/>
  <c r="AB17" i="22"/>
  <c r="BK17" i="22"/>
  <c r="AG17" i="22"/>
  <c r="BD17" i="22"/>
  <c r="BM18" i="22"/>
  <c r="T17" i="22"/>
  <c r="Z17" i="22"/>
  <c r="AD17" i="22"/>
  <c r="AI17" i="22"/>
  <c r="AO17" i="22"/>
  <c r="AV17" i="22"/>
  <c r="BB17" i="22"/>
  <c r="BF17" i="22"/>
  <c r="BL17" i="22"/>
  <c r="V18" i="22"/>
  <c r="AB18" i="22"/>
  <c r="AG18" i="22"/>
  <c r="AM18" i="22"/>
  <c r="AQ18" i="22"/>
  <c r="AX18" i="22"/>
  <c r="BD18" i="22"/>
  <c r="BJ18" i="22"/>
  <c r="U17" i="22"/>
  <c r="AA17" i="22"/>
  <c r="AF17" i="22"/>
  <c r="AJ17" i="22"/>
  <c r="AP17" i="22"/>
  <c r="AW17" i="22"/>
  <c r="BC17" i="22"/>
  <c r="BI17" i="22"/>
  <c r="BM17" i="22"/>
  <c r="S18" i="22"/>
  <c r="W18" i="22"/>
  <c r="AC18" i="22"/>
  <c r="AH18" i="22"/>
  <c r="AN18" i="22"/>
  <c r="AU18" i="22"/>
  <c r="AY18" i="22"/>
  <c r="BE18" i="22"/>
  <c r="BK18" i="22"/>
  <c r="BJ17" i="22"/>
  <c r="T18" i="22"/>
  <c r="Z18" i="22"/>
  <c r="AD18" i="22"/>
  <c r="AI18" i="22"/>
  <c r="AO18" i="22"/>
  <c r="AV18" i="22"/>
  <c r="BB18" i="22"/>
  <c r="BF18" i="22"/>
  <c r="BL18" i="22"/>
  <c r="S17" i="22"/>
  <c r="W17" i="22"/>
  <c r="AC17" i="22"/>
  <c r="AH17" i="22"/>
  <c r="AN17" i="22"/>
  <c r="AU17" i="22"/>
  <c r="AY17" i="22"/>
  <c r="BE17" i="22"/>
  <c r="U18" i="22"/>
  <c r="AA18" i="22"/>
  <c r="AF18" i="22"/>
  <c r="AJ18" i="22"/>
  <c r="AP18" i="22"/>
  <c r="AW18" i="22"/>
  <c r="BC18" i="22"/>
  <c r="BI18" i="22"/>
  <c r="E19" i="21"/>
  <c r="D19" i="21"/>
  <c r="C19" i="21"/>
  <c r="B19" i="21"/>
  <c r="A19" i="21"/>
  <c r="E18" i="21"/>
  <c r="D18" i="21"/>
  <c r="C18" i="21"/>
  <c r="B18" i="21"/>
  <c r="A18" i="21"/>
  <c r="E17" i="21"/>
  <c r="D17" i="21"/>
  <c r="C17" i="21"/>
  <c r="B17" i="21"/>
  <c r="A17" i="21"/>
  <c r="D8" i="21"/>
  <c r="D6" i="21"/>
  <c r="BM19" i="21" l="1"/>
  <c r="BL17" i="21"/>
  <c r="BK18" i="21"/>
  <c r="F17" i="22"/>
  <c r="F18" i="22"/>
  <c r="J18" i="22"/>
  <c r="J17" i="22"/>
  <c r="AM17" i="21"/>
  <c r="BJ17" i="21"/>
  <c r="V17" i="21"/>
  <c r="BM17" i="21"/>
  <c r="AG17" i="21"/>
  <c r="BD17" i="21"/>
  <c r="V19" i="21"/>
  <c r="AQ19" i="21"/>
  <c r="AB19" i="21"/>
  <c r="AX19" i="21"/>
  <c r="AG19" i="21"/>
  <c r="BD19" i="21"/>
  <c r="AQ17" i="21"/>
  <c r="BL18" i="21"/>
  <c r="AB17" i="21"/>
  <c r="AX17" i="21"/>
  <c r="AM19" i="21"/>
  <c r="BJ19" i="21"/>
  <c r="Z18" i="21"/>
  <c r="AV18" i="21"/>
  <c r="S17" i="21"/>
  <c r="W17" i="21"/>
  <c r="AC17" i="21"/>
  <c r="AH17" i="21"/>
  <c r="AN17" i="21"/>
  <c r="AU17" i="21"/>
  <c r="AY17" i="21"/>
  <c r="BE17" i="21"/>
  <c r="BK17" i="21"/>
  <c r="U18" i="21"/>
  <c r="AA18" i="21"/>
  <c r="AF18" i="21"/>
  <c r="AJ18" i="21"/>
  <c r="AP18" i="21"/>
  <c r="AW18" i="21"/>
  <c r="BC18" i="21"/>
  <c r="BI18" i="21"/>
  <c r="BM18" i="21"/>
  <c r="S19" i="21"/>
  <c r="W19" i="21"/>
  <c r="AC19" i="21"/>
  <c r="AH19" i="21"/>
  <c r="AN19" i="21"/>
  <c r="AU19" i="21"/>
  <c r="AY19" i="21"/>
  <c r="BE19" i="21"/>
  <c r="BK19" i="21"/>
  <c r="T18" i="21"/>
  <c r="AI18" i="21"/>
  <c r="BB18" i="21"/>
  <c r="Z17" i="21"/>
  <c r="AI17" i="21"/>
  <c r="AV17" i="21"/>
  <c r="V18" i="21"/>
  <c r="AB18" i="21"/>
  <c r="AG18" i="21"/>
  <c r="AM18" i="21"/>
  <c r="AQ18" i="21"/>
  <c r="AX18" i="21"/>
  <c r="BD18" i="21"/>
  <c r="BJ18" i="21"/>
  <c r="T19" i="21"/>
  <c r="Z19" i="21"/>
  <c r="AD19" i="21"/>
  <c r="AI19" i="21"/>
  <c r="AO19" i="21"/>
  <c r="AV19" i="21"/>
  <c r="BB19" i="21"/>
  <c r="BF19" i="21"/>
  <c r="BL19" i="21"/>
  <c r="AD18" i="21"/>
  <c r="AO18" i="21"/>
  <c r="BF18" i="21"/>
  <c r="T17" i="21"/>
  <c r="AD17" i="21"/>
  <c r="AO17" i="21"/>
  <c r="BB17" i="21"/>
  <c r="BF17" i="21"/>
  <c r="U17" i="21"/>
  <c r="AA17" i="21"/>
  <c r="AF17" i="21"/>
  <c r="AJ17" i="21"/>
  <c r="AP17" i="21"/>
  <c r="AW17" i="21"/>
  <c r="BC17" i="21"/>
  <c r="BI17" i="21"/>
  <c r="S18" i="21"/>
  <c r="W18" i="21"/>
  <c r="AC18" i="21"/>
  <c r="AH18" i="21"/>
  <c r="AN18" i="21"/>
  <c r="AU18" i="21"/>
  <c r="AY18" i="21"/>
  <c r="BE18" i="21"/>
  <c r="U19" i="21"/>
  <c r="AA19" i="21"/>
  <c r="AF19" i="21"/>
  <c r="AJ19" i="21"/>
  <c r="AP19" i="21"/>
  <c r="AW19" i="21"/>
  <c r="BC19" i="21"/>
  <c r="BI19" i="21"/>
  <c r="F17" i="21" l="1"/>
  <c r="F18" i="21"/>
  <c r="J19" i="21"/>
  <c r="J17" i="21"/>
  <c r="F19" i="21"/>
  <c r="J18" i="21"/>
  <c r="D6" i="19" l="1"/>
  <c r="E19" i="20"/>
  <c r="D19" i="20"/>
  <c r="C19" i="20"/>
  <c r="B19" i="20"/>
  <c r="A19" i="20"/>
  <c r="E18" i="20"/>
  <c r="D18" i="20"/>
  <c r="C18" i="20"/>
  <c r="B18" i="20"/>
  <c r="A18" i="20"/>
  <c r="E17" i="20"/>
  <c r="D17" i="20"/>
  <c r="C17" i="20"/>
  <c r="B17" i="20"/>
  <c r="A17" i="20"/>
  <c r="D8" i="20"/>
  <c r="D6" i="20"/>
  <c r="V18" i="20" l="1"/>
  <c r="BC18" i="20"/>
  <c r="BM17" i="20"/>
  <c r="AQ18" i="20"/>
  <c r="BD18" i="20"/>
  <c r="AF18" i="20"/>
  <c r="BM18" i="20"/>
  <c r="BM19" i="20"/>
  <c r="AG18" i="20"/>
  <c r="U18" i="20"/>
  <c r="AP18" i="20"/>
  <c r="AB18" i="20"/>
  <c r="AM18" i="20"/>
  <c r="AX18" i="20"/>
  <c r="BJ18" i="20"/>
  <c r="BK18" i="20"/>
  <c r="AA18" i="20"/>
  <c r="AJ18" i="20"/>
  <c r="AW18" i="20"/>
  <c r="BI18" i="20"/>
  <c r="S17" i="20"/>
  <c r="AN17" i="20"/>
  <c r="BK17" i="20"/>
  <c r="AI17" i="20"/>
  <c r="BF17" i="20"/>
  <c r="V17" i="20"/>
  <c r="AB17" i="20"/>
  <c r="AG17" i="20"/>
  <c r="AM17" i="20"/>
  <c r="AQ17" i="20"/>
  <c r="AX17" i="20"/>
  <c r="BD17" i="20"/>
  <c r="BJ17" i="20"/>
  <c r="T18" i="20"/>
  <c r="Z18" i="20"/>
  <c r="AD18" i="20"/>
  <c r="AI18" i="20"/>
  <c r="AO18" i="20"/>
  <c r="AV18" i="20"/>
  <c r="BB18" i="20"/>
  <c r="BF18" i="20"/>
  <c r="BL18" i="20"/>
  <c r="V19" i="20"/>
  <c r="AB19" i="20"/>
  <c r="AG19" i="20"/>
  <c r="AM19" i="20"/>
  <c r="AQ19" i="20"/>
  <c r="AX19" i="20"/>
  <c r="BD19" i="20"/>
  <c r="BJ19" i="20"/>
  <c r="W17" i="20"/>
  <c r="AY17" i="20"/>
  <c r="S19" i="20"/>
  <c r="W19" i="20"/>
  <c r="AC19" i="20"/>
  <c r="AH19" i="20"/>
  <c r="AN19" i="20"/>
  <c r="AU19" i="20"/>
  <c r="AY19" i="20"/>
  <c r="BE19" i="20"/>
  <c r="BK19" i="20"/>
  <c r="AH17" i="20"/>
  <c r="AU17" i="20"/>
  <c r="Z17" i="20"/>
  <c r="AO17" i="20"/>
  <c r="AV17" i="20"/>
  <c r="BL17" i="20"/>
  <c r="T19" i="20"/>
  <c r="Z19" i="20"/>
  <c r="AD19" i="20"/>
  <c r="AI19" i="20"/>
  <c r="AO19" i="20"/>
  <c r="AV19" i="20"/>
  <c r="BB19" i="20"/>
  <c r="BF19" i="20"/>
  <c r="BL19" i="20"/>
  <c r="AC17" i="20"/>
  <c r="BE17" i="20"/>
  <c r="T17" i="20"/>
  <c r="AD17" i="20"/>
  <c r="BB17" i="20"/>
  <c r="U17" i="20"/>
  <c r="AA17" i="20"/>
  <c r="AF17" i="20"/>
  <c r="AJ17" i="20"/>
  <c r="AP17" i="20"/>
  <c r="AW17" i="20"/>
  <c r="BC17" i="20"/>
  <c r="BI17" i="20"/>
  <c r="S18" i="20"/>
  <c r="W18" i="20"/>
  <c r="AC18" i="20"/>
  <c r="AH18" i="20"/>
  <c r="AN18" i="20"/>
  <c r="AU18" i="20"/>
  <c r="AY18" i="20"/>
  <c r="BE18" i="20"/>
  <c r="U19" i="20"/>
  <c r="AA19" i="20"/>
  <c r="AF19" i="20"/>
  <c r="AJ19" i="20"/>
  <c r="AP19" i="20"/>
  <c r="AW19" i="20"/>
  <c r="BC19" i="20"/>
  <c r="BI19" i="20"/>
  <c r="J17" i="20" l="1"/>
  <c r="J18" i="20"/>
  <c r="F18" i="20"/>
  <c r="J19" i="20"/>
  <c r="F19" i="20"/>
  <c r="F17" i="20"/>
  <c r="E19" i="19" l="1"/>
  <c r="D19" i="19"/>
  <c r="C19" i="19"/>
  <c r="B19" i="19"/>
  <c r="A19" i="19"/>
  <c r="E18" i="19"/>
  <c r="D18" i="19"/>
  <c r="C18" i="19"/>
  <c r="B18" i="19"/>
  <c r="A18" i="19"/>
  <c r="E17" i="19"/>
  <c r="D17" i="19"/>
  <c r="C17" i="19"/>
  <c r="B17" i="19"/>
  <c r="A17" i="19"/>
  <c r="D8" i="19"/>
  <c r="AF18" i="19" l="1"/>
  <c r="AG18" i="19"/>
  <c r="BM17" i="19"/>
  <c r="V18" i="19"/>
  <c r="BK18" i="19"/>
  <c r="AA18" i="19"/>
  <c r="AM18" i="19"/>
  <c r="AB18" i="19"/>
  <c r="AQ18" i="19"/>
  <c r="BM19" i="19"/>
  <c r="U18" i="19"/>
  <c r="AD17" i="19"/>
  <c r="V17" i="19"/>
  <c r="AB17" i="19"/>
  <c r="AG17" i="19"/>
  <c r="AM17" i="19"/>
  <c r="AQ17" i="19"/>
  <c r="AX17" i="19"/>
  <c r="BD17" i="19"/>
  <c r="BJ17" i="19"/>
  <c r="T18" i="19"/>
  <c r="Z18" i="19"/>
  <c r="AD18" i="19"/>
  <c r="AI18" i="19"/>
  <c r="AO18" i="19"/>
  <c r="AV18" i="19"/>
  <c r="BB18" i="19"/>
  <c r="BF18" i="19"/>
  <c r="BL18" i="19"/>
  <c r="V19" i="19"/>
  <c r="AB19" i="19"/>
  <c r="AG19" i="19"/>
  <c r="AM19" i="19"/>
  <c r="AQ19" i="19"/>
  <c r="AX19" i="19"/>
  <c r="BD19" i="19"/>
  <c r="BJ19" i="19"/>
  <c r="W17" i="19"/>
  <c r="AC17" i="19"/>
  <c r="AN17" i="19"/>
  <c r="AU17" i="19"/>
  <c r="AY17" i="19"/>
  <c r="BE17" i="19"/>
  <c r="BK17" i="19"/>
  <c r="AJ18" i="19"/>
  <c r="AP18" i="19"/>
  <c r="AW18" i="19"/>
  <c r="BC18" i="19"/>
  <c r="BI18" i="19"/>
  <c r="BM18" i="19"/>
  <c r="S19" i="19"/>
  <c r="W19" i="19"/>
  <c r="AC19" i="19"/>
  <c r="AH19" i="19"/>
  <c r="AN19" i="19"/>
  <c r="AU19" i="19"/>
  <c r="AY19" i="19"/>
  <c r="BE19" i="19"/>
  <c r="BK19" i="19"/>
  <c r="S17" i="19"/>
  <c r="AH17" i="19"/>
  <c r="T17" i="19"/>
  <c r="AI17" i="19"/>
  <c r="AV17" i="19"/>
  <c r="BF17" i="19"/>
  <c r="AX18" i="19"/>
  <c r="BD18" i="19"/>
  <c r="BJ18" i="19"/>
  <c r="T19" i="19"/>
  <c r="Z19" i="19"/>
  <c r="AD19" i="19"/>
  <c r="AI19" i="19"/>
  <c r="AO19" i="19"/>
  <c r="AV19" i="19"/>
  <c r="BB19" i="19"/>
  <c r="BF19" i="19"/>
  <c r="BL19" i="19"/>
  <c r="Z17" i="19"/>
  <c r="AO17" i="19"/>
  <c r="BB17" i="19"/>
  <c r="BL17" i="19"/>
  <c r="U17" i="19"/>
  <c r="AA17" i="19"/>
  <c r="AF17" i="19"/>
  <c r="AJ17" i="19"/>
  <c r="AP17" i="19"/>
  <c r="AW17" i="19"/>
  <c r="BC17" i="19"/>
  <c r="BI17" i="19"/>
  <c r="S18" i="19"/>
  <c r="W18" i="19"/>
  <c r="AC18" i="19"/>
  <c r="AH18" i="19"/>
  <c r="AN18" i="19"/>
  <c r="AU18" i="19"/>
  <c r="AY18" i="19"/>
  <c r="BE18" i="19"/>
  <c r="U19" i="19"/>
  <c r="AA19" i="19"/>
  <c r="AF19" i="19"/>
  <c r="AJ19" i="19"/>
  <c r="AP19" i="19"/>
  <c r="AW19" i="19"/>
  <c r="BC19" i="19"/>
  <c r="BI19" i="19"/>
  <c r="E19" i="18"/>
  <c r="D19" i="18"/>
  <c r="C19" i="18"/>
  <c r="B19" i="18"/>
  <c r="A19" i="18"/>
  <c r="E18" i="18"/>
  <c r="D18" i="18"/>
  <c r="C18" i="18"/>
  <c r="B18" i="18"/>
  <c r="A18" i="18"/>
  <c r="E17" i="18"/>
  <c r="D17" i="18"/>
  <c r="C17" i="18"/>
  <c r="B17" i="18"/>
  <c r="A17" i="18"/>
  <c r="D8" i="18"/>
  <c r="D6" i="18"/>
  <c r="F19" i="19" l="1"/>
  <c r="F18" i="19"/>
  <c r="J17" i="19"/>
  <c r="J19" i="19"/>
  <c r="J18" i="19"/>
  <c r="F17" i="19"/>
  <c r="BM17" i="18"/>
  <c r="BM18" i="18"/>
  <c r="BM19" i="18"/>
  <c r="T17" i="18"/>
  <c r="V17" i="18"/>
  <c r="Z17" i="18"/>
  <c r="AB17" i="18"/>
  <c r="AD17" i="18"/>
  <c r="AG17" i="18"/>
  <c r="AI17" i="18"/>
  <c r="AM17" i="18"/>
  <c r="AO17" i="18"/>
  <c r="AQ17" i="18"/>
  <c r="AV17" i="18"/>
  <c r="AX17" i="18"/>
  <c r="BB17" i="18"/>
  <c r="BD17" i="18"/>
  <c r="BF17" i="18"/>
  <c r="BJ17" i="18"/>
  <c r="BL17" i="18"/>
  <c r="T18" i="18"/>
  <c r="V18" i="18"/>
  <c r="Z18" i="18"/>
  <c r="AB18" i="18"/>
  <c r="AD18" i="18"/>
  <c r="AG18" i="18"/>
  <c r="AI18" i="18"/>
  <c r="AM18" i="18"/>
  <c r="AO18" i="18"/>
  <c r="AQ18" i="18"/>
  <c r="AV18" i="18"/>
  <c r="AX18" i="18"/>
  <c r="BB18" i="18"/>
  <c r="BD18" i="18"/>
  <c r="BF18" i="18"/>
  <c r="BJ18" i="18"/>
  <c r="BL18" i="18"/>
  <c r="T19" i="18"/>
  <c r="V19" i="18"/>
  <c r="Z19" i="18"/>
  <c r="AB19" i="18"/>
  <c r="AD19" i="18"/>
  <c r="AG19" i="18"/>
  <c r="AI19" i="18"/>
  <c r="AM19" i="18"/>
  <c r="AO19" i="18"/>
  <c r="AQ19" i="18"/>
  <c r="AV19" i="18"/>
  <c r="AX19" i="18"/>
  <c r="BB19" i="18"/>
  <c r="BD19" i="18"/>
  <c r="BF19" i="18"/>
  <c r="BJ19" i="18"/>
  <c r="BL19" i="18"/>
  <c r="S17" i="18"/>
  <c r="U17" i="18"/>
  <c r="W17" i="18"/>
  <c r="AA17" i="18"/>
  <c r="AC17" i="18"/>
  <c r="AF17" i="18"/>
  <c r="AH17" i="18"/>
  <c r="AJ17" i="18"/>
  <c r="AN17" i="18"/>
  <c r="AP17" i="18"/>
  <c r="AU17" i="18"/>
  <c r="AW17" i="18"/>
  <c r="AY17" i="18"/>
  <c r="BC17" i="18"/>
  <c r="BE17" i="18"/>
  <c r="BI17" i="18"/>
  <c r="BK17" i="18"/>
  <c r="S18" i="18"/>
  <c r="U18" i="18"/>
  <c r="W18" i="18"/>
  <c r="AA18" i="18"/>
  <c r="AC18" i="18"/>
  <c r="AF18" i="18"/>
  <c r="AH18" i="18"/>
  <c r="AJ18" i="18"/>
  <c r="AN18" i="18"/>
  <c r="AP18" i="18"/>
  <c r="AU18" i="18"/>
  <c r="AW18" i="18"/>
  <c r="AY18" i="18"/>
  <c r="BC18" i="18"/>
  <c r="BE18" i="18"/>
  <c r="BI18" i="18"/>
  <c r="BK18" i="18"/>
  <c r="S19" i="18"/>
  <c r="U19" i="18"/>
  <c r="W19" i="18"/>
  <c r="AA19" i="18"/>
  <c r="AC19" i="18"/>
  <c r="AF19" i="18"/>
  <c r="AH19" i="18"/>
  <c r="AJ19" i="18"/>
  <c r="AN19" i="18"/>
  <c r="AP19" i="18"/>
  <c r="AU19" i="18"/>
  <c r="AW19" i="18"/>
  <c r="AY19" i="18"/>
  <c r="BC19" i="18"/>
  <c r="BE19" i="18"/>
  <c r="BI19" i="18"/>
  <c r="BK19" i="18"/>
  <c r="B17" i="9"/>
  <c r="E19" i="17"/>
  <c r="D19" i="17"/>
  <c r="C19" i="17"/>
  <c r="B19" i="17"/>
  <c r="A19" i="17"/>
  <c r="E18" i="17"/>
  <c r="D18" i="17"/>
  <c r="C18" i="17"/>
  <c r="B18" i="17"/>
  <c r="A18" i="17"/>
  <c r="E17" i="17"/>
  <c r="D17" i="17"/>
  <c r="C17" i="17"/>
  <c r="B17" i="17"/>
  <c r="A17" i="17"/>
  <c r="D8" i="17"/>
  <c r="D6" i="17"/>
  <c r="BM19" i="17" l="1"/>
  <c r="BM17" i="17"/>
  <c r="F19" i="18"/>
  <c r="F17" i="18"/>
  <c r="J18" i="18"/>
  <c r="F18" i="18"/>
  <c r="J19" i="18"/>
  <c r="J17" i="18"/>
  <c r="BM18" i="17"/>
  <c r="T17" i="17"/>
  <c r="V17" i="17"/>
  <c r="Z17" i="17"/>
  <c r="AB17" i="17"/>
  <c r="AD17" i="17"/>
  <c r="AG17" i="17"/>
  <c r="AI17" i="17"/>
  <c r="AM17" i="17"/>
  <c r="AO17" i="17"/>
  <c r="AQ17" i="17"/>
  <c r="AV17" i="17"/>
  <c r="AX17" i="17"/>
  <c r="BB17" i="17"/>
  <c r="BD17" i="17"/>
  <c r="BF17" i="17"/>
  <c r="BJ17" i="17"/>
  <c r="BL17" i="17"/>
  <c r="T18" i="17"/>
  <c r="V18" i="17"/>
  <c r="Z18" i="17"/>
  <c r="AB18" i="17"/>
  <c r="AD18" i="17"/>
  <c r="AG18" i="17"/>
  <c r="AI18" i="17"/>
  <c r="AM18" i="17"/>
  <c r="AO18" i="17"/>
  <c r="AQ18" i="17"/>
  <c r="AV18" i="17"/>
  <c r="AX18" i="17"/>
  <c r="BB18" i="17"/>
  <c r="BD18" i="17"/>
  <c r="BF18" i="17"/>
  <c r="BJ18" i="17"/>
  <c r="BL18" i="17"/>
  <c r="T19" i="17"/>
  <c r="V19" i="17"/>
  <c r="Z19" i="17"/>
  <c r="AB19" i="17"/>
  <c r="AD19" i="17"/>
  <c r="AG19" i="17"/>
  <c r="AI19" i="17"/>
  <c r="AM19" i="17"/>
  <c r="AO19" i="17"/>
  <c r="AQ19" i="17"/>
  <c r="AV19" i="17"/>
  <c r="AX19" i="17"/>
  <c r="BB19" i="17"/>
  <c r="BD19" i="17"/>
  <c r="BF19" i="17"/>
  <c r="BJ19" i="17"/>
  <c r="BL19" i="17"/>
  <c r="S17" i="17"/>
  <c r="U17" i="17"/>
  <c r="W17" i="17"/>
  <c r="AA17" i="17"/>
  <c r="AC17" i="17"/>
  <c r="AF17" i="17"/>
  <c r="AH17" i="17"/>
  <c r="AJ17" i="17"/>
  <c r="AN17" i="17"/>
  <c r="AP17" i="17"/>
  <c r="AU17" i="17"/>
  <c r="AW17" i="17"/>
  <c r="AY17" i="17"/>
  <c r="BC17" i="17"/>
  <c r="BE17" i="17"/>
  <c r="BI17" i="17"/>
  <c r="BK17" i="17"/>
  <c r="S18" i="17"/>
  <c r="U18" i="17"/>
  <c r="W18" i="17"/>
  <c r="AA18" i="17"/>
  <c r="AC18" i="17"/>
  <c r="AF18" i="17"/>
  <c r="AH18" i="17"/>
  <c r="AJ18" i="17"/>
  <c r="AN18" i="17"/>
  <c r="AP18" i="17"/>
  <c r="AU18" i="17"/>
  <c r="AW18" i="17"/>
  <c r="AY18" i="17"/>
  <c r="BC18" i="17"/>
  <c r="BE18" i="17"/>
  <c r="BI18" i="17"/>
  <c r="BK18" i="17"/>
  <c r="S19" i="17"/>
  <c r="U19" i="17"/>
  <c r="W19" i="17"/>
  <c r="AA19" i="17"/>
  <c r="AC19" i="17"/>
  <c r="AF19" i="17"/>
  <c r="AH19" i="17"/>
  <c r="AJ19" i="17"/>
  <c r="AN19" i="17"/>
  <c r="AP19" i="17"/>
  <c r="AU19" i="17"/>
  <c r="AW19" i="17"/>
  <c r="AY19" i="17"/>
  <c r="BC19" i="17"/>
  <c r="BE19" i="17"/>
  <c r="BI19" i="17"/>
  <c r="BK19" i="17"/>
  <c r="D8" i="16"/>
  <c r="D6" i="16"/>
  <c r="BL17" i="16" l="1"/>
  <c r="F19" i="17"/>
  <c r="F17" i="17"/>
  <c r="J18" i="17"/>
  <c r="F18" i="17"/>
  <c r="J19" i="17"/>
  <c r="J17" i="17"/>
  <c r="AB17" i="16"/>
  <c r="AM17" i="16"/>
  <c r="AX17" i="16"/>
  <c r="BJ17" i="16"/>
  <c r="BM17" i="16"/>
  <c r="V17" i="16"/>
  <c r="AG17" i="16"/>
  <c r="AQ17" i="16"/>
  <c r="BD17" i="16"/>
  <c r="BJ18" i="16"/>
  <c r="T18" i="16"/>
  <c r="Z18" i="16"/>
  <c r="AD18" i="16"/>
  <c r="AI18" i="16"/>
  <c r="AO18" i="16"/>
  <c r="AV18" i="16"/>
  <c r="BB18" i="16"/>
  <c r="BF18" i="16"/>
  <c r="BL18" i="16"/>
  <c r="T17" i="16"/>
  <c r="Z17" i="16"/>
  <c r="AD17" i="16"/>
  <c r="AI17" i="16"/>
  <c r="AO17" i="16"/>
  <c r="AV17" i="16"/>
  <c r="BB17" i="16"/>
  <c r="BF17" i="16"/>
  <c r="BM18" i="16"/>
  <c r="V18" i="16"/>
  <c r="AB18" i="16"/>
  <c r="AG18" i="16"/>
  <c r="AM18" i="16"/>
  <c r="AQ18" i="16"/>
  <c r="AX18" i="16"/>
  <c r="BD18" i="16"/>
  <c r="S17" i="16"/>
  <c r="U17" i="16"/>
  <c r="W17" i="16"/>
  <c r="AA17" i="16"/>
  <c r="AC17" i="16"/>
  <c r="AF17" i="16"/>
  <c r="AH17" i="16"/>
  <c r="AJ17" i="16"/>
  <c r="AN17" i="16"/>
  <c r="AP17" i="16"/>
  <c r="AU17" i="16"/>
  <c r="AW17" i="16"/>
  <c r="AY17" i="16"/>
  <c r="BC17" i="16"/>
  <c r="BE17" i="16"/>
  <c r="BI17" i="16"/>
  <c r="BK17" i="16"/>
  <c r="S18" i="16"/>
  <c r="U18" i="16"/>
  <c r="W18" i="16"/>
  <c r="AA18" i="16"/>
  <c r="AC18" i="16"/>
  <c r="AF18" i="16"/>
  <c r="AH18" i="16"/>
  <c r="AJ18" i="16"/>
  <c r="AN18" i="16"/>
  <c r="AP18" i="16"/>
  <c r="AU18" i="16"/>
  <c r="AW18" i="16"/>
  <c r="AY18" i="16"/>
  <c r="BC18" i="16"/>
  <c r="BE18" i="16"/>
  <c r="BI18" i="16"/>
  <c r="BK18" i="16"/>
  <c r="E18" i="15"/>
  <c r="D18" i="15"/>
  <c r="C18" i="15"/>
  <c r="B18" i="15"/>
  <c r="A18" i="15"/>
  <c r="E17" i="15"/>
  <c r="D17" i="15"/>
  <c r="C17" i="15"/>
  <c r="B17" i="15"/>
  <c r="A17" i="15"/>
  <c r="D8" i="15"/>
  <c r="D6" i="15"/>
  <c r="F18" i="16" l="1"/>
  <c r="F17" i="16"/>
  <c r="J17" i="16"/>
  <c r="J18" i="16"/>
  <c r="BM17" i="15"/>
  <c r="BM18" i="15"/>
  <c r="T17" i="15"/>
  <c r="V17" i="15"/>
  <c r="Z17" i="15"/>
  <c r="AB17" i="15"/>
  <c r="AD17" i="15"/>
  <c r="AG17" i="15"/>
  <c r="AI17" i="15"/>
  <c r="AM17" i="15"/>
  <c r="AO17" i="15"/>
  <c r="AQ17" i="15"/>
  <c r="AV17" i="15"/>
  <c r="AX17" i="15"/>
  <c r="BB17" i="15"/>
  <c r="BD17" i="15"/>
  <c r="BF17" i="15"/>
  <c r="BJ17" i="15"/>
  <c r="BL17" i="15"/>
  <c r="T18" i="15"/>
  <c r="V18" i="15"/>
  <c r="Z18" i="15"/>
  <c r="AB18" i="15"/>
  <c r="AD18" i="15"/>
  <c r="AG18" i="15"/>
  <c r="AI18" i="15"/>
  <c r="AM18" i="15"/>
  <c r="AO18" i="15"/>
  <c r="AQ18" i="15"/>
  <c r="AV18" i="15"/>
  <c r="AX18" i="15"/>
  <c r="BB18" i="15"/>
  <c r="BD18" i="15"/>
  <c r="BF18" i="15"/>
  <c r="BJ18" i="15"/>
  <c r="BL18" i="15"/>
  <c r="S17" i="15"/>
  <c r="U17" i="15"/>
  <c r="W17" i="15"/>
  <c r="AA17" i="15"/>
  <c r="AC17" i="15"/>
  <c r="AF17" i="15"/>
  <c r="AH17" i="15"/>
  <c r="AJ17" i="15"/>
  <c r="AN17" i="15"/>
  <c r="AP17" i="15"/>
  <c r="AU17" i="15"/>
  <c r="AW17" i="15"/>
  <c r="AY17" i="15"/>
  <c r="BC17" i="15"/>
  <c r="BE17" i="15"/>
  <c r="BI17" i="15"/>
  <c r="BK17" i="15"/>
  <c r="S18" i="15"/>
  <c r="U18" i="15"/>
  <c r="W18" i="15"/>
  <c r="AA18" i="15"/>
  <c r="AC18" i="15"/>
  <c r="AF18" i="15"/>
  <c r="AH18" i="15"/>
  <c r="AJ18" i="15"/>
  <c r="AN18" i="15"/>
  <c r="AP18" i="15"/>
  <c r="AU18" i="15"/>
  <c r="AW18" i="15"/>
  <c r="AY18" i="15"/>
  <c r="BC18" i="15"/>
  <c r="BE18" i="15"/>
  <c r="BI18" i="15"/>
  <c r="BK18" i="15"/>
  <c r="F18" i="15" l="1"/>
  <c r="J18" i="15"/>
  <c r="F17" i="15"/>
  <c r="J17" i="15"/>
  <c r="E19" i="13" l="1"/>
  <c r="D19" i="13"/>
  <c r="C19" i="13"/>
  <c r="B19" i="13"/>
  <c r="A19" i="13"/>
  <c r="E18" i="13"/>
  <c r="D18" i="13"/>
  <c r="C18" i="13"/>
  <c r="B18" i="13"/>
  <c r="A18" i="13"/>
  <c r="E17" i="13"/>
  <c r="D17" i="13"/>
  <c r="C17" i="13"/>
  <c r="B17" i="13"/>
  <c r="A17" i="13"/>
  <c r="D8" i="13"/>
  <c r="D6" i="13"/>
  <c r="BM17" i="13" l="1"/>
  <c r="BM19" i="13"/>
  <c r="BM18" i="13"/>
  <c r="T17" i="13"/>
  <c r="V17" i="13"/>
  <c r="Z17" i="13"/>
  <c r="AB17" i="13"/>
  <c r="AD17" i="13"/>
  <c r="AG17" i="13"/>
  <c r="AI17" i="13"/>
  <c r="AM17" i="13"/>
  <c r="AO17" i="13"/>
  <c r="AQ17" i="13"/>
  <c r="AV17" i="13"/>
  <c r="AX17" i="13"/>
  <c r="BB17" i="13"/>
  <c r="BD17" i="13"/>
  <c r="BF17" i="13"/>
  <c r="BJ17" i="13"/>
  <c r="BL17" i="13"/>
  <c r="T18" i="13"/>
  <c r="V18" i="13"/>
  <c r="Z18" i="13"/>
  <c r="AB18" i="13"/>
  <c r="AD18" i="13"/>
  <c r="AG18" i="13"/>
  <c r="AI18" i="13"/>
  <c r="AM18" i="13"/>
  <c r="AO18" i="13"/>
  <c r="AQ18" i="13"/>
  <c r="AV18" i="13"/>
  <c r="AX18" i="13"/>
  <c r="BB18" i="13"/>
  <c r="BD18" i="13"/>
  <c r="BF18" i="13"/>
  <c r="BJ18" i="13"/>
  <c r="BL18" i="13"/>
  <c r="T19" i="13"/>
  <c r="V19" i="13"/>
  <c r="Z19" i="13"/>
  <c r="AB19" i="13"/>
  <c r="AD19" i="13"/>
  <c r="AG19" i="13"/>
  <c r="AI19" i="13"/>
  <c r="AM19" i="13"/>
  <c r="AO19" i="13"/>
  <c r="AQ19" i="13"/>
  <c r="AV19" i="13"/>
  <c r="AX19" i="13"/>
  <c r="BB19" i="13"/>
  <c r="BD19" i="13"/>
  <c r="BF19" i="13"/>
  <c r="BJ19" i="13"/>
  <c r="BL19" i="13"/>
  <c r="S17" i="13"/>
  <c r="U17" i="13"/>
  <c r="W17" i="13"/>
  <c r="AA17" i="13"/>
  <c r="AC17" i="13"/>
  <c r="AF17" i="13"/>
  <c r="AH17" i="13"/>
  <c r="AJ17" i="13"/>
  <c r="AN17" i="13"/>
  <c r="AP17" i="13"/>
  <c r="AU17" i="13"/>
  <c r="AW17" i="13"/>
  <c r="AY17" i="13"/>
  <c r="BC17" i="13"/>
  <c r="BE17" i="13"/>
  <c r="BI17" i="13"/>
  <c r="BK17" i="13"/>
  <c r="S18" i="13"/>
  <c r="U18" i="13"/>
  <c r="W18" i="13"/>
  <c r="AA18" i="13"/>
  <c r="AC18" i="13"/>
  <c r="AF18" i="13"/>
  <c r="AH18" i="13"/>
  <c r="AJ18" i="13"/>
  <c r="AN18" i="13"/>
  <c r="AP18" i="13"/>
  <c r="AU18" i="13"/>
  <c r="AW18" i="13"/>
  <c r="AY18" i="13"/>
  <c r="BC18" i="13"/>
  <c r="BE18" i="13"/>
  <c r="BI18" i="13"/>
  <c r="BK18" i="13"/>
  <c r="S19" i="13"/>
  <c r="U19" i="13"/>
  <c r="W19" i="13"/>
  <c r="AA19" i="13"/>
  <c r="AC19" i="13"/>
  <c r="AF19" i="13"/>
  <c r="AH19" i="13"/>
  <c r="AJ19" i="13"/>
  <c r="AN19" i="13"/>
  <c r="AP19" i="13"/>
  <c r="AU19" i="13"/>
  <c r="AW19" i="13"/>
  <c r="AY19" i="13"/>
  <c r="BC19" i="13"/>
  <c r="BE19" i="13"/>
  <c r="BI19" i="13"/>
  <c r="BK19" i="13"/>
  <c r="F19" i="13" l="1"/>
  <c r="F17" i="13"/>
  <c r="J18" i="13"/>
  <c r="F18" i="13"/>
  <c r="J19" i="13"/>
  <c r="J17" i="13"/>
  <c r="E19" i="12" l="1"/>
  <c r="D19" i="12"/>
  <c r="C19" i="12"/>
  <c r="B19" i="12"/>
  <c r="A19" i="12"/>
  <c r="E18" i="12"/>
  <c r="D18" i="12"/>
  <c r="E17" i="12"/>
  <c r="D17" i="12"/>
  <c r="D8" i="12"/>
  <c r="D6" i="12"/>
  <c r="BM17" i="12" l="1"/>
  <c r="BM19" i="12"/>
  <c r="BM18" i="12"/>
  <c r="T17" i="12"/>
  <c r="V17" i="12"/>
  <c r="Z17" i="12"/>
  <c r="AB17" i="12"/>
  <c r="AD17" i="12"/>
  <c r="AG17" i="12"/>
  <c r="AI17" i="12"/>
  <c r="AM17" i="12"/>
  <c r="AO17" i="12"/>
  <c r="AQ17" i="12"/>
  <c r="AV17" i="12"/>
  <c r="AX17" i="12"/>
  <c r="BB17" i="12"/>
  <c r="BD17" i="12"/>
  <c r="BF17" i="12"/>
  <c r="BJ17" i="12"/>
  <c r="BL17" i="12"/>
  <c r="T18" i="12"/>
  <c r="V18" i="12"/>
  <c r="Z18" i="12"/>
  <c r="AB18" i="12"/>
  <c r="AD18" i="12"/>
  <c r="AG18" i="12"/>
  <c r="AI18" i="12"/>
  <c r="AM18" i="12"/>
  <c r="AO18" i="12"/>
  <c r="AQ18" i="12"/>
  <c r="AV18" i="12"/>
  <c r="AX18" i="12"/>
  <c r="BB18" i="12"/>
  <c r="BD18" i="12"/>
  <c r="BF18" i="12"/>
  <c r="BJ18" i="12"/>
  <c r="BL18" i="12"/>
  <c r="T19" i="12"/>
  <c r="V19" i="12"/>
  <c r="Z19" i="12"/>
  <c r="AB19" i="12"/>
  <c r="AD19" i="12"/>
  <c r="AG19" i="12"/>
  <c r="AI19" i="12"/>
  <c r="AM19" i="12"/>
  <c r="AO19" i="12"/>
  <c r="AQ19" i="12"/>
  <c r="AV19" i="12"/>
  <c r="AX19" i="12"/>
  <c r="BB19" i="12"/>
  <c r="BD19" i="12"/>
  <c r="BF19" i="12"/>
  <c r="BJ19" i="12"/>
  <c r="BL19" i="12"/>
  <c r="S17" i="12"/>
  <c r="U17" i="12"/>
  <c r="W17" i="12"/>
  <c r="AA17" i="12"/>
  <c r="AC17" i="12"/>
  <c r="AF17" i="12"/>
  <c r="AH17" i="12"/>
  <c r="AJ17" i="12"/>
  <c r="AN17" i="12"/>
  <c r="AP17" i="12"/>
  <c r="AU17" i="12"/>
  <c r="AW17" i="12"/>
  <c r="AY17" i="12"/>
  <c r="BC17" i="12"/>
  <c r="BE17" i="12"/>
  <c r="BI17" i="12"/>
  <c r="BK17" i="12"/>
  <c r="S18" i="12"/>
  <c r="U18" i="12"/>
  <c r="W18" i="12"/>
  <c r="AA18" i="12"/>
  <c r="AC18" i="12"/>
  <c r="AF18" i="12"/>
  <c r="AH18" i="12"/>
  <c r="AJ18" i="12"/>
  <c r="AN18" i="12"/>
  <c r="AP18" i="12"/>
  <c r="AU18" i="12"/>
  <c r="AW18" i="12"/>
  <c r="AY18" i="12"/>
  <c r="BC18" i="12"/>
  <c r="BE18" i="12"/>
  <c r="BI18" i="12"/>
  <c r="BK18" i="12"/>
  <c r="S19" i="12"/>
  <c r="U19" i="12"/>
  <c r="W19" i="12"/>
  <c r="AA19" i="12"/>
  <c r="AC19" i="12"/>
  <c r="AF19" i="12"/>
  <c r="AH19" i="12"/>
  <c r="AJ19" i="12"/>
  <c r="AN19" i="12"/>
  <c r="AP19" i="12"/>
  <c r="AU19" i="12"/>
  <c r="AW19" i="12"/>
  <c r="AY19" i="12"/>
  <c r="BC19" i="12"/>
  <c r="BE19" i="12"/>
  <c r="BI19" i="12"/>
  <c r="BK19" i="12"/>
  <c r="F19" i="12" l="1"/>
  <c r="F17" i="12"/>
  <c r="J18" i="12"/>
  <c r="F18" i="12"/>
  <c r="J19" i="12"/>
  <c r="J17" i="12"/>
  <c r="E19" i="10" l="1"/>
  <c r="D19" i="10"/>
  <c r="C19" i="10"/>
  <c r="B19" i="10"/>
  <c r="A19" i="10"/>
  <c r="E18" i="10"/>
  <c r="D18" i="10"/>
  <c r="C18" i="10"/>
  <c r="B18" i="10"/>
  <c r="A18" i="10"/>
  <c r="E17" i="10"/>
  <c r="D17" i="10"/>
  <c r="C17" i="10"/>
  <c r="B17" i="10"/>
  <c r="A17" i="10"/>
  <c r="D8" i="10"/>
  <c r="D6" i="10"/>
  <c r="BM17" i="10" l="1"/>
  <c r="BM19" i="10"/>
  <c r="BM18" i="10"/>
  <c r="T17" i="10"/>
  <c r="V17" i="10"/>
  <c r="Z17" i="10"/>
  <c r="AB17" i="10"/>
  <c r="AD17" i="10"/>
  <c r="AG17" i="10"/>
  <c r="AI17" i="10"/>
  <c r="AM17" i="10"/>
  <c r="AO17" i="10"/>
  <c r="AQ17" i="10"/>
  <c r="AV17" i="10"/>
  <c r="AX17" i="10"/>
  <c r="BB17" i="10"/>
  <c r="BD17" i="10"/>
  <c r="BF17" i="10"/>
  <c r="BJ17" i="10"/>
  <c r="BL17" i="10"/>
  <c r="T18" i="10"/>
  <c r="V18" i="10"/>
  <c r="Z18" i="10"/>
  <c r="AB18" i="10"/>
  <c r="AD18" i="10"/>
  <c r="AG18" i="10"/>
  <c r="AI18" i="10"/>
  <c r="AM18" i="10"/>
  <c r="AO18" i="10"/>
  <c r="AQ18" i="10"/>
  <c r="AV18" i="10"/>
  <c r="AX18" i="10"/>
  <c r="BB18" i="10"/>
  <c r="BD18" i="10"/>
  <c r="BF18" i="10"/>
  <c r="BJ18" i="10"/>
  <c r="BL18" i="10"/>
  <c r="T19" i="10"/>
  <c r="V19" i="10"/>
  <c r="Z19" i="10"/>
  <c r="AB19" i="10"/>
  <c r="AD19" i="10"/>
  <c r="AG19" i="10"/>
  <c r="AI19" i="10"/>
  <c r="AM19" i="10"/>
  <c r="AO19" i="10"/>
  <c r="AQ19" i="10"/>
  <c r="AV19" i="10"/>
  <c r="AX19" i="10"/>
  <c r="BB19" i="10"/>
  <c r="BD19" i="10"/>
  <c r="BF19" i="10"/>
  <c r="BJ19" i="10"/>
  <c r="BL19" i="10"/>
  <c r="S17" i="10"/>
  <c r="U17" i="10"/>
  <c r="W17" i="10"/>
  <c r="AA17" i="10"/>
  <c r="AC17" i="10"/>
  <c r="AF17" i="10"/>
  <c r="AH17" i="10"/>
  <c r="AJ17" i="10"/>
  <c r="AN17" i="10"/>
  <c r="AP17" i="10"/>
  <c r="AU17" i="10"/>
  <c r="AW17" i="10"/>
  <c r="AY17" i="10"/>
  <c r="BC17" i="10"/>
  <c r="BE17" i="10"/>
  <c r="BI17" i="10"/>
  <c r="BK17" i="10"/>
  <c r="S18" i="10"/>
  <c r="U18" i="10"/>
  <c r="W18" i="10"/>
  <c r="AA18" i="10"/>
  <c r="AC18" i="10"/>
  <c r="AF18" i="10"/>
  <c r="AH18" i="10"/>
  <c r="AJ18" i="10"/>
  <c r="AN18" i="10"/>
  <c r="AP18" i="10"/>
  <c r="AU18" i="10"/>
  <c r="AW18" i="10"/>
  <c r="AY18" i="10"/>
  <c r="BC18" i="10"/>
  <c r="BE18" i="10"/>
  <c r="BI18" i="10"/>
  <c r="BK18" i="10"/>
  <c r="S19" i="10"/>
  <c r="U19" i="10"/>
  <c r="W19" i="10"/>
  <c r="AA19" i="10"/>
  <c r="AC19" i="10"/>
  <c r="AF19" i="10"/>
  <c r="AH19" i="10"/>
  <c r="AJ19" i="10"/>
  <c r="AN19" i="10"/>
  <c r="AP19" i="10"/>
  <c r="AU19" i="10"/>
  <c r="AW19" i="10"/>
  <c r="AY19" i="10"/>
  <c r="BC19" i="10"/>
  <c r="BE19" i="10"/>
  <c r="BI19" i="10"/>
  <c r="BK19" i="10"/>
  <c r="F19" i="10" l="1"/>
  <c r="F17" i="10"/>
  <c r="J18" i="10"/>
  <c r="F18" i="10"/>
  <c r="J19" i="10"/>
  <c r="J17" i="10"/>
  <c r="E19" i="9" l="1"/>
  <c r="D19" i="9"/>
  <c r="C19" i="9"/>
  <c r="B19" i="9"/>
  <c r="A19" i="9"/>
  <c r="E18" i="9"/>
  <c r="D18" i="9"/>
  <c r="C18" i="9"/>
  <c r="B18" i="9"/>
  <c r="A18" i="9"/>
  <c r="E17" i="9"/>
  <c r="D17" i="9"/>
  <c r="C17" i="9"/>
  <c r="A17" i="9"/>
  <c r="D8" i="9"/>
  <c r="BM17" i="9" l="1"/>
  <c r="BM19" i="9"/>
  <c r="BM18" i="9"/>
  <c r="T17" i="9"/>
  <c r="V17" i="9"/>
  <c r="Z17" i="9"/>
  <c r="AB17" i="9"/>
  <c r="AD17" i="9"/>
  <c r="AG17" i="9"/>
  <c r="AI17" i="9"/>
  <c r="AM17" i="9"/>
  <c r="AO17" i="9"/>
  <c r="AQ17" i="9"/>
  <c r="AV17" i="9"/>
  <c r="AX17" i="9"/>
  <c r="BB17" i="9"/>
  <c r="BD17" i="9"/>
  <c r="BF17" i="9"/>
  <c r="BJ17" i="9"/>
  <c r="BL17" i="9"/>
  <c r="T18" i="9"/>
  <c r="V18" i="9"/>
  <c r="Z18" i="9"/>
  <c r="AB18" i="9"/>
  <c r="AD18" i="9"/>
  <c r="AG18" i="9"/>
  <c r="AI18" i="9"/>
  <c r="AM18" i="9"/>
  <c r="AO18" i="9"/>
  <c r="AQ18" i="9"/>
  <c r="AV18" i="9"/>
  <c r="AX18" i="9"/>
  <c r="BB18" i="9"/>
  <c r="BD18" i="9"/>
  <c r="BF18" i="9"/>
  <c r="BJ18" i="9"/>
  <c r="BL18" i="9"/>
  <c r="T19" i="9"/>
  <c r="V19" i="9"/>
  <c r="Z19" i="9"/>
  <c r="AB19" i="9"/>
  <c r="AD19" i="9"/>
  <c r="AG19" i="9"/>
  <c r="AI19" i="9"/>
  <c r="AM19" i="9"/>
  <c r="AO19" i="9"/>
  <c r="AQ19" i="9"/>
  <c r="AV19" i="9"/>
  <c r="AX19" i="9"/>
  <c r="BB19" i="9"/>
  <c r="BD19" i="9"/>
  <c r="BF19" i="9"/>
  <c r="BJ19" i="9"/>
  <c r="BL19" i="9"/>
  <c r="S17" i="9"/>
  <c r="U17" i="9"/>
  <c r="W17" i="9"/>
  <c r="AA17" i="9"/>
  <c r="AC17" i="9"/>
  <c r="AF17" i="9"/>
  <c r="AH17" i="9"/>
  <c r="AJ17" i="9"/>
  <c r="AN17" i="9"/>
  <c r="AP17" i="9"/>
  <c r="AU17" i="9"/>
  <c r="AW17" i="9"/>
  <c r="AY17" i="9"/>
  <c r="BC17" i="9"/>
  <c r="BE17" i="9"/>
  <c r="BI17" i="9"/>
  <c r="BK17" i="9"/>
  <c r="S18" i="9"/>
  <c r="U18" i="9"/>
  <c r="W18" i="9"/>
  <c r="AA18" i="9"/>
  <c r="AC18" i="9"/>
  <c r="AF18" i="9"/>
  <c r="AH18" i="9"/>
  <c r="AJ18" i="9"/>
  <c r="AN18" i="9"/>
  <c r="AP18" i="9"/>
  <c r="AU18" i="9"/>
  <c r="AW18" i="9"/>
  <c r="AY18" i="9"/>
  <c r="BC18" i="9"/>
  <c r="BE18" i="9"/>
  <c r="BI18" i="9"/>
  <c r="BK18" i="9"/>
  <c r="S19" i="9"/>
  <c r="U19" i="9"/>
  <c r="W19" i="9"/>
  <c r="AA19" i="9"/>
  <c r="AC19" i="9"/>
  <c r="AF19" i="9"/>
  <c r="AH19" i="9"/>
  <c r="AJ19" i="9"/>
  <c r="AN19" i="9"/>
  <c r="AP19" i="9"/>
  <c r="AU19" i="9"/>
  <c r="AW19" i="9"/>
  <c r="AY19" i="9"/>
  <c r="BC19" i="9"/>
  <c r="BE19" i="9"/>
  <c r="BI19" i="9"/>
  <c r="BK19" i="9"/>
  <c r="F19" i="9" l="1"/>
  <c r="F17" i="9"/>
  <c r="J18" i="9"/>
  <c r="F18" i="9"/>
  <c r="J19" i="9"/>
  <c r="J17" i="9"/>
  <c r="E18" i="8" l="1"/>
  <c r="D18" i="8"/>
  <c r="BM18" i="8" s="1"/>
  <c r="E17" i="8"/>
  <c r="D17" i="8"/>
  <c r="BL17" i="8" s="1"/>
  <c r="C17" i="8"/>
  <c r="B17" i="8"/>
  <c r="A17" i="8"/>
  <c r="D8" i="8"/>
  <c r="D6" i="8"/>
  <c r="S17" i="8" l="1"/>
  <c r="U17" i="8"/>
  <c r="W17" i="8"/>
  <c r="AA17" i="8"/>
  <c r="AC17" i="8"/>
  <c r="AF17" i="8"/>
  <c r="AH17" i="8"/>
  <c r="AJ17" i="8"/>
  <c r="AN17" i="8"/>
  <c r="AP17" i="8"/>
  <c r="AU17" i="8"/>
  <c r="AW17" i="8"/>
  <c r="AY17" i="8"/>
  <c r="BC17" i="8"/>
  <c r="BE17" i="8"/>
  <c r="BI17" i="8"/>
  <c r="BK17" i="8"/>
  <c r="BM17" i="8"/>
  <c r="T18" i="8"/>
  <c r="V18" i="8"/>
  <c r="Z18" i="8"/>
  <c r="AB18" i="8"/>
  <c r="AD18" i="8"/>
  <c r="AG18" i="8"/>
  <c r="AI18" i="8"/>
  <c r="AM18" i="8"/>
  <c r="AO18" i="8"/>
  <c r="AQ18" i="8"/>
  <c r="AV18" i="8"/>
  <c r="AX18" i="8"/>
  <c r="BB18" i="8"/>
  <c r="BD18" i="8"/>
  <c r="BF18" i="8"/>
  <c r="BJ18" i="8"/>
  <c r="BL18" i="8"/>
  <c r="T17" i="8"/>
  <c r="V17" i="8"/>
  <c r="Z17" i="8"/>
  <c r="AB17" i="8"/>
  <c r="AD17" i="8"/>
  <c r="AG17" i="8"/>
  <c r="AI17" i="8"/>
  <c r="AM17" i="8"/>
  <c r="AO17" i="8"/>
  <c r="AQ17" i="8"/>
  <c r="AV17" i="8"/>
  <c r="AX17" i="8"/>
  <c r="BB17" i="8"/>
  <c r="BD17" i="8"/>
  <c r="BF17" i="8"/>
  <c r="BJ17" i="8"/>
  <c r="S18" i="8"/>
  <c r="U18" i="8"/>
  <c r="W18" i="8"/>
  <c r="AA18" i="8"/>
  <c r="AC18" i="8"/>
  <c r="AF18" i="8"/>
  <c r="AH18" i="8"/>
  <c r="AJ18" i="8"/>
  <c r="AN18" i="8"/>
  <c r="AP18" i="8"/>
  <c r="AU18" i="8"/>
  <c r="AW18" i="8"/>
  <c r="AY18" i="8"/>
  <c r="BC18" i="8"/>
  <c r="BE18" i="8"/>
  <c r="BI18" i="8"/>
  <c r="BK18" i="8"/>
  <c r="J17" i="8" l="1"/>
  <c r="F18" i="8"/>
  <c r="J18" i="8"/>
  <c r="F17" i="8"/>
  <c r="BM19" i="7" l="1"/>
  <c r="BL19" i="7"/>
  <c r="BK19" i="7"/>
  <c r="BJ19" i="7"/>
  <c r="BI19" i="7"/>
  <c r="BF19" i="7"/>
  <c r="BE19" i="7"/>
  <c r="BD19" i="7"/>
  <c r="BC19" i="7"/>
  <c r="BB19" i="7"/>
  <c r="AY19" i="7"/>
  <c r="AX19" i="7"/>
  <c r="AW19" i="7"/>
  <c r="AV19" i="7"/>
  <c r="AU19" i="7"/>
  <c r="AQ19" i="7"/>
  <c r="AP19" i="7"/>
  <c r="AO19" i="7"/>
  <c r="AN19" i="7"/>
  <c r="AM19" i="7"/>
  <c r="AJ19" i="7"/>
  <c r="AI19" i="7"/>
  <c r="AH19" i="7"/>
  <c r="AG19" i="7"/>
  <c r="AF19" i="7"/>
  <c r="AD19" i="7"/>
  <c r="AC19" i="7"/>
  <c r="AB19" i="7"/>
  <c r="AA19" i="7"/>
  <c r="Z19" i="7"/>
  <c r="W19" i="7"/>
  <c r="V19" i="7"/>
  <c r="U19" i="7"/>
  <c r="T19" i="7"/>
  <c r="S19" i="7"/>
  <c r="BM18" i="7"/>
  <c r="BL18" i="7"/>
  <c r="BK18" i="7"/>
  <c r="BJ18" i="7"/>
  <c r="BI18" i="7"/>
  <c r="BF18" i="7"/>
  <c r="BE18" i="7"/>
  <c r="BD18" i="7"/>
  <c r="BC18" i="7"/>
  <c r="BB18" i="7"/>
  <c r="AY18" i="7"/>
  <c r="AX18" i="7"/>
  <c r="AW18" i="7"/>
  <c r="AV18" i="7"/>
  <c r="AU18" i="7"/>
  <c r="AQ18" i="7"/>
  <c r="AP18" i="7"/>
  <c r="AO18" i="7"/>
  <c r="AN18" i="7"/>
  <c r="AM18" i="7"/>
  <c r="AJ18" i="7"/>
  <c r="AI18" i="7"/>
  <c r="AH18" i="7"/>
  <c r="AG18" i="7"/>
  <c r="AF18" i="7"/>
  <c r="AD18" i="7"/>
  <c r="AC18" i="7"/>
  <c r="AB18" i="7"/>
  <c r="AA18" i="7"/>
  <c r="Z18" i="7"/>
  <c r="W18" i="7"/>
  <c r="V18" i="7"/>
  <c r="U18" i="7"/>
  <c r="T18" i="7"/>
  <c r="S18" i="7"/>
  <c r="E17" i="7"/>
  <c r="D17" i="7"/>
  <c r="C17" i="7"/>
  <c r="B17" i="7"/>
  <c r="A17" i="7"/>
  <c r="D8" i="7"/>
  <c r="D6" i="7"/>
  <c r="BM17" i="7" l="1"/>
  <c r="T17" i="7"/>
  <c r="V17" i="7"/>
  <c r="Z17" i="7"/>
  <c r="AB17" i="7"/>
  <c r="AD17" i="7"/>
  <c r="AG17" i="7"/>
  <c r="AI17" i="7"/>
  <c r="AM17" i="7"/>
  <c r="AO17" i="7"/>
  <c r="AQ17" i="7"/>
  <c r="AV17" i="7"/>
  <c r="AX17" i="7"/>
  <c r="BB17" i="7"/>
  <c r="BD17" i="7"/>
  <c r="BF17" i="7"/>
  <c r="BJ17" i="7"/>
  <c r="BL17" i="7"/>
  <c r="S17" i="7"/>
  <c r="U17" i="7"/>
  <c r="W17" i="7"/>
  <c r="AA17" i="7"/>
  <c r="AC17" i="7"/>
  <c r="AF17" i="7"/>
  <c r="AH17" i="7"/>
  <c r="AJ17" i="7"/>
  <c r="AN17" i="7"/>
  <c r="AP17" i="7"/>
  <c r="AU17" i="7"/>
  <c r="AW17" i="7"/>
  <c r="AY17" i="7"/>
  <c r="BC17" i="7"/>
  <c r="BE17" i="7"/>
  <c r="BI17" i="7"/>
  <c r="BK17" i="7"/>
  <c r="F17" i="7" l="1"/>
  <c r="J17" i="7"/>
  <c r="E20" i="5" l="1"/>
  <c r="D20" i="5"/>
  <c r="C20" i="5"/>
  <c r="B20" i="5"/>
  <c r="A20" i="5"/>
  <c r="E19" i="5"/>
  <c r="D19" i="5"/>
  <c r="C19" i="5"/>
  <c r="B19" i="5"/>
  <c r="A19" i="5"/>
  <c r="E18" i="5"/>
  <c r="D18" i="5"/>
  <c r="C18" i="5"/>
  <c r="B18" i="5"/>
  <c r="A18" i="5"/>
  <c r="E17" i="5"/>
  <c r="D17" i="5"/>
  <c r="C17" i="5"/>
  <c r="B17" i="5"/>
  <c r="A17" i="5"/>
  <c r="D8" i="5"/>
  <c r="D6" i="5"/>
  <c r="BL17" i="5" l="1"/>
  <c r="BL19" i="5"/>
  <c r="AB17" i="5"/>
  <c r="AM17" i="5"/>
  <c r="AX17" i="5"/>
  <c r="BJ17" i="5"/>
  <c r="AB19" i="5"/>
  <c r="AM19" i="5"/>
  <c r="AX19" i="5"/>
  <c r="BJ19" i="5"/>
  <c r="BM17" i="5"/>
  <c r="V17" i="5"/>
  <c r="AG17" i="5"/>
  <c r="AQ17" i="5"/>
  <c r="BD17" i="5"/>
  <c r="BJ18" i="5"/>
  <c r="BM19" i="5"/>
  <c r="V19" i="5"/>
  <c r="AG19" i="5"/>
  <c r="AQ19" i="5"/>
  <c r="BD19" i="5"/>
  <c r="AI18" i="5"/>
  <c r="BL20" i="5"/>
  <c r="BJ20" i="5"/>
  <c r="BF20" i="5"/>
  <c r="BD20" i="5"/>
  <c r="BB20" i="5"/>
  <c r="AX20" i="5"/>
  <c r="AV20" i="5"/>
  <c r="AQ20" i="5"/>
  <c r="AO20" i="5"/>
  <c r="T20" i="5"/>
  <c r="Z20" i="5"/>
  <c r="AD20" i="5"/>
  <c r="AI20" i="5"/>
  <c r="T18" i="5"/>
  <c r="Z18" i="5"/>
  <c r="AD18" i="5"/>
  <c r="AO18" i="5"/>
  <c r="AV18" i="5"/>
  <c r="BB18" i="5"/>
  <c r="BF18" i="5"/>
  <c r="BL18" i="5"/>
  <c r="T17" i="5"/>
  <c r="Z17" i="5"/>
  <c r="AD17" i="5"/>
  <c r="AI17" i="5"/>
  <c r="AO17" i="5"/>
  <c r="AV17" i="5"/>
  <c r="BB17" i="5"/>
  <c r="BF17" i="5"/>
  <c r="BM18" i="5"/>
  <c r="V18" i="5"/>
  <c r="AB18" i="5"/>
  <c r="AG18" i="5"/>
  <c r="AM18" i="5"/>
  <c r="AQ18" i="5"/>
  <c r="AX18" i="5"/>
  <c r="BD18" i="5"/>
  <c r="T19" i="5"/>
  <c r="Z19" i="5"/>
  <c r="AD19" i="5"/>
  <c r="AI19" i="5"/>
  <c r="AO19" i="5"/>
  <c r="AV19" i="5"/>
  <c r="BB19" i="5"/>
  <c r="BF19" i="5"/>
  <c r="BM20" i="5"/>
  <c r="V20" i="5"/>
  <c r="AB20" i="5"/>
  <c r="AG20" i="5"/>
  <c r="AM20" i="5"/>
  <c r="S17" i="5"/>
  <c r="U17" i="5"/>
  <c r="W17" i="5"/>
  <c r="AA17" i="5"/>
  <c r="AC17" i="5"/>
  <c r="AF17" i="5"/>
  <c r="AH17" i="5"/>
  <c r="AJ17" i="5"/>
  <c r="AN17" i="5"/>
  <c r="AP17" i="5"/>
  <c r="AU17" i="5"/>
  <c r="AW17" i="5"/>
  <c r="AY17" i="5"/>
  <c r="BC17" i="5"/>
  <c r="BE17" i="5"/>
  <c r="BI17" i="5"/>
  <c r="BK17" i="5"/>
  <c r="S18" i="5"/>
  <c r="U18" i="5"/>
  <c r="W18" i="5"/>
  <c r="AA18" i="5"/>
  <c r="AC18" i="5"/>
  <c r="AF18" i="5"/>
  <c r="AH18" i="5"/>
  <c r="AJ18" i="5"/>
  <c r="AN18" i="5"/>
  <c r="AP18" i="5"/>
  <c r="AU18" i="5"/>
  <c r="AW18" i="5"/>
  <c r="AY18" i="5"/>
  <c r="BC18" i="5"/>
  <c r="BE18" i="5"/>
  <c r="BI18" i="5"/>
  <c r="BK18" i="5"/>
  <c r="S19" i="5"/>
  <c r="U19" i="5"/>
  <c r="W19" i="5"/>
  <c r="AA19" i="5"/>
  <c r="AC19" i="5"/>
  <c r="AF19" i="5"/>
  <c r="AH19" i="5"/>
  <c r="AJ19" i="5"/>
  <c r="AN19" i="5"/>
  <c r="AP19" i="5"/>
  <c r="AU19" i="5"/>
  <c r="AW19" i="5"/>
  <c r="AY19" i="5"/>
  <c r="BC19" i="5"/>
  <c r="BE19" i="5"/>
  <c r="BI19" i="5"/>
  <c r="BK19" i="5"/>
  <c r="S20" i="5"/>
  <c r="U20" i="5"/>
  <c r="W20" i="5"/>
  <c r="AA20" i="5"/>
  <c r="AC20" i="5"/>
  <c r="AF20" i="5"/>
  <c r="AH20" i="5"/>
  <c r="AJ20" i="5"/>
  <c r="AN20" i="5"/>
  <c r="AP20" i="5"/>
  <c r="AU20" i="5"/>
  <c r="AW20" i="5"/>
  <c r="AY20" i="5"/>
  <c r="BC20" i="5"/>
  <c r="BE20" i="5"/>
  <c r="BI20" i="5"/>
  <c r="BK20" i="5"/>
  <c r="F19" i="5" l="1"/>
  <c r="F17" i="5"/>
  <c r="J19" i="5"/>
  <c r="J17" i="5"/>
  <c r="J18" i="5"/>
  <c r="J20" i="5"/>
  <c r="F20" i="5"/>
  <c r="F18" i="5"/>
</calcChain>
</file>

<file path=xl/comments1.xml><?xml version="1.0" encoding="utf-8"?>
<comments xmlns="http://schemas.openxmlformats.org/spreadsheetml/2006/main">
  <authors>
    <author>Patricia Montenegro</author>
  </authors>
  <commentList>
    <comment ref="G17" authorId="0">
      <text>
        <r>
          <rPr>
            <b/>
            <sz val="9"/>
            <color indexed="81"/>
            <rFont val="Tahoma"/>
            <family val="2"/>
          </rPr>
          <t>Faltaría especificaren el SIIF: módulos, rutas  y mayor especificaciones en el aplicativo</t>
        </r>
      </text>
    </comment>
  </commentList>
</comments>
</file>

<file path=xl/sharedStrings.xml><?xml version="1.0" encoding="utf-8"?>
<sst xmlns="http://schemas.openxmlformats.org/spreadsheetml/2006/main" count="1356" uniqueCount="158">
  <si>
    <t>MAPA DE RIESGOS</t>
  </si>
  <si>
    <t>Codigo:E-PI-F006</t>
  </si>
  <si>
    <t>Version:04</t>
  </si>
  <si>
    <t>Fecha: 01/03/2016</t>
  </si>
  <si>
    <t>Pagina: 1 de 1</t>
  </si>
  <si>
    <t>PROCESO:</t>
  </si>
  <si>
    <t xml:space="preserve">OBJETIVO </t>
  </si>
  <si>
    <t>RESPONSABLE</t>
  </si>
  <si>
    <t>FECHA DE ACTUALIZACIÒN:</t>
  </si>
  <si>
    <t>Prob</t>
  </si>
  <si>
    <t>Imp</t>
  </si>
  <si>
    <t>probabilidad</t>
  </si>
  <si>
    <t>IMPACTO</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</si>
  <si>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</si>
  <si>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</si>
  <si>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</si>
  <si>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</si>
  <si>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</si>
  <si>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</si>
  <si>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</si>
  <si>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</si>
  <si>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</si>
  <si>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</si>
  <si>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</si>
  <si>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</si>
  <si>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</si>
  <si>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ACCIONES</t>
  </si>
  <si>
    <t>INDICADOR</t>
  </si>
  <si>
    <t>PROBABILIDAD</t>
  </si>
  <si>
    <t>ZONA DE RIESGO</t>
  </si>
  <si>
    <t>PERIODO DE EJECUCIÓN</t>
  </si>
  <si>
    <t>REGISTRO</t>
  </si>
  <si>
    <t>x</t>
  </si>
  <si>
    <t>Mensual</t>
  </si>
  <si>
    <t>Docuemento análisis del monitoreo de medios.                       Docuemnto estadistico de reporte de las redes  sociales.</t>
  </si>
  <si>
    <t>&gt;75</t>
  </si>
  <si>
    <t>&gt;50 &lt;76</t>
  </si>
  <si>
    <t>&lt;50</t>
  </si>
  <si>
    <t>Procedimiento para la gestión de audiencias públicas (Código: E-GC-P004).   
Estrategia de Rendición de Cuentas.</t>
  </si>
  <si>
    <t>Enero a diciembre de cada vigencia</t>
  </si>
  <si>
    <t xml:space="preserve">Reuniones para hacer seguimiento al precedimiento de rendicion de cuentas.   
Audiencia publica de rendicion de cuentas.      
Seguimiento al cronograma de la Implemetacion de la Estrategia de Rendicion de Cuentas.   </t>
  </si>
  <si>
    <t xml:space="preserve">Actas 
Evidencias de la audiencia publica de rendicion de cuentas.
</t>
  </si>
  <si>
    <t>Procedimiento de Comunicación interna y externa del IDEAM (Código: E-GC-P001).      
Política de Comunicaiones.</t>
  </si>
  <si>
    <t>Bimensual</t>
  </si>
  <si>
    <t>Reporte de noticias publicadas en la web del instituto.
Reporte de noticas publicadas en la Intranet del instituto.</t>
  </si>
  <si>
    <t xml:space="preserve">Noticias publicadas en la WEB del IDEAM, en el link Noticias y sala de presa.
Noticias publicadas en la Intranet del IDEAM, en el link noticias y sala de prensa. </t>
  </si>
  <si>
    <t>* FUENTE: GUIA DE PARA LA ADMINISTRACION DEL RIESGO DEL DAFP 4 EDICION SEPTIEMBRE DE 2011</t>
  </si>
  <si>
    <t>MODERADO (5)</t>
  </si>
  <si>
    <t>MAYOR (10)</t>
  </si>
  <si>
    <t>CATASTRÓFICO (20)</t>
  </si>
  <si>
    <t>* FUENTE GUÍA PARA LA GESTIÓN DEL RIESGO DE CORRUPCIÓN 2015 Secretaría de Transparencia de la Presidencia de la República</t>
  </si>
  <si>
    <t xml:space="preserve"> RARA VEZ (1)</t>
  </si>
  <si>
    <t>B</t>
  </si>
  <si>
    <t>M</t>
  </si>
  <si>
    <t>IMPROBABLE (2)</t>
  </si>
  <si>
    <t>A</t>
  </si>
  <si>
    <t>POSIBLE (3)</t>
  </si>
  <si>
    <t>E</t>
  </si>
  <si>
    <t>PROBABLE (4)</t>
  </si>
  <si>
    <t>CASI SEGURO (5)</t>
  </si>
  <si>
    <t>B: Zona de riesgo baja: Asumir el riesgo</t>
  </si>
  <si>
    <t>M: Zona de riesgo moderada: Asumir el riesgo, reducir el riesgo</t>
  </si>
  <si>
    <t>A: Zona de riesgo Alta: Reducir el riesgo, evitar, compartir o transferir</t>
  </si>
  <si>
    <t>E: Zona de riesgo extrema: Reducir el riesgo, evitar, compartir o transferir</t>
  </si>
  <si>
    <t xml:space="preserve"> Coordinadores Grupo Financiero (Presupuesto, Contabilidad y Tesorería)</t>
  </si>
  <si>
    <t>procedimeinto de pago a observadores.
Planilla de recepcion de cuentas</t>
  </si>
  <si>
    <t>trimestral</t>
  </si>
  <si>
    <t>capacitar en el procedimiento de pago a proveedores</t>
  </si>
  <si>
    <t>acta de reunion de capacitacion</t>
  </si>
  <si>
    <t>sirem</t>
  </si>
  <si>
    <t>solciitar a talento humano campañas anticorrupcion, gestionar ante coimunicaciones boletin de anticorrupción</t>
  </si>
  <si>
    <t>correos y orfeo solicitando las campañas y boletines
boletin anticorrupcion</t>
  </si>
  <si>
    <t>siif nacion II
cuadro en excel de amortizacion de anticipos</t>
  </si>
  <si>
    <t>solciitar a talento humano campañas anticorrupcion, gestionar ante comunicaciones boletin de anticorrupción</t>
  </si>
  <si>
    <t xml:space="preserve">Siif nacion II
aplicativo orfeo
</t>
  </si>
  <si>
    <t>Jefe Oficina Asesora Jurídica</t>
  </si>
  <si>
    <t xml:space="preserve">Manual de contrtación en la cual se establecen los responsables en cada etapa (pre contractual y post contractual), Comité de Contratción, Comité Evaluador del Proceso , capacitaciones del manual y circulares de difusión </t>
  </si>
  <si>
    <t>Una capacitación al año de los manuales de contratación y supervisión y respecto de cada proceso contractual se  reportará una vez al año el total de procesos de selección realizados</t>
  </si>
  <si>
    <t>Capacitación, Actas de comité de contratación, las actas de comité evaluador de cada proceso de selección</t>
  </si>
  <si>
    <t>Actas de comité de contrtación, Actas de comité evaluador y listas de asistencia</t>
  </si>
  <si>
    <t xml:space="preserve"> Jefe de Oficina de Informática</t>
  </si>
  <si>
    <t>*Politica de Seguridad y Privacidad de la Información.
*Politica de acceso a servicios de informacion 
*  A1-GIP-02 Procedimiento de Acceso a Servicios de Informacion.</t>
  </si>
  <si>
    <t>FORMATOS Y PROCEDIMINETOS ESTABLECIDOS POR LA OFICINA ASESORA JURIDICA
LISTA DE CHEQUEO REQUISISTOS PARA RADICACION DE ESTUDIOS PREVIOS OFICINA ASESORA JURIDICA</t>
  </si>
  <si>
    <t>X</t>
  </si>
  <si>
    <t>DURANTE LA VIGENCIA</t>
  </si>
  <si>
    <t>COORDINAR CON LA OFICINA ASESORA JURIDICA LA ACTUALIZACION EN TEMAS JURIDICOS Y PRECONTRACTUALES</t>
  </si>
  <si>
    <t>COMUNCIONES ESCRITAS (SISTEMA ORFEO Y ZIMBRA)</t>
  </si>
  <si>
    <t xml:space="preserve">CONTROL DE GASTOS EN EL APLICATIVO SIIF 
CONTROL EN LA PLATAFORMA BANCARIA </t>
  </si>
  <si>
    <t>TRIMESTRAL</t>
  </si>
  <si>
    <t xml:space="preserve">REALIZAR EL ARQUEO DE LA CAJA MENOR PERIODICAMENTE </t>
  </si>
  <si>
    <t>ELABORACION DE ACTAS E INFORMES DEL ARQUEO DE LA CAJA MENOR
COMUNCIONES ESCRITAS (SISTEMA ORFEO Y ZIMBRA) 
RELACION DE EXTRACTOS BANCARIOS 
REPORTES EXPEDIDOS POR LA PLATAFORMA SIIF DE MIN HACIENDA</t>
  </si>
  <si>
    <t>Coordinadora Grupo de Administración y Desarrollo del Talento Humano.</t>
  </si>
  <si>
    <t>Formato Anàlisis Hoja de Vida verificar cumplimiento de requisitos del cargo.</t>
  </si>
  <si>
    <t>Por Demanada</t>
  </si>
  <si>
    <t>Verificar el cumplimiento de requisitos por parte de los candidatos.  Realizar el proceso meritocrático de Ley para la provisión de empleos de libre nombramiento y remoción. Diligenciamiento u Revisión previa de los
información
que se suministra cada vez
que se requiere a la
Comisión Nacional del
Servicio Civil.</t>
  </si>
  <si>
    <t xml:space="preserve">Formato Análisis Hoja de Vida.                    Actas de Comisión de Personal.          </t>
  </si>
  <si>
    <t>1.Generar una prenómina en el aplicativo PERNO,  para revisión y verificación de la liquidación de salarios y prestaciones a reconocer. 2.Ajustar las liquidaciones en el aplicativo PERNO  las que se detecten errores en los valores a liquidar.                           3. Revisión de los Reportes Archivo Bancos con Resumen General de Nómina.</t>
  </si>
  <si>
    <t xml:space="preserve">Documentar en el Sistema de Gestión de Calidad el procedimiento de nómina .  Establecer pùntos de control y verificaciòn  en el proceso de liquidaciòn de nòmina(Archivo de Bancos, FNA, aportes Parafiscales, Descuentos, Horas extras y compensatorios). </t>
  </si>
  <si>
    <t xml:space="preserve">Reportes de Nómina verificados.         Procedimiento cargado en la Intranet.                         </t>
  </si>
  <si>
    <t>Trimestral</t>
  </si>
  <si>
    <t>Coordinadora Grupo Control Disciplinario Interno</t>
  </si>
  <si>
    <t>Memorando de declaratoria de impedimento (Orfeo); Auto aceptando o negando el impedimento por parte de la Primera Instancia Disciplinaria ó del Director General, según el caso (reposa en cada expediente donde obre impedimento).</t>
  </si>
  <si>
    <t>Aplicación de lo reglado en los Arts. 84, 85 y 87 del CDU.</t>
  </si>
  <si>
    <t>Expediente Disciplinario (Físico - Orfeo) contentivo de la declaratoria de Impedimento.</t>
  </si>
  <si>
    <t>Ejecución mensual durante por todo el año.</t>
  </si>
  <si>
    <r>
      <rPr>
        <b/>
        <sz val="11"/>
        <rFont val="Arial"/>
        <family val="2"/>
      </rPr>
      <t xml:space="preserve">1- </t>
    </r>
    <r>
      <rPr>
        <sz val="11"/>
        <rFont val="Arial"/>
        <family val="2"/>
      </rPr>
      <t xml:space="preserve">Fortalecer los controles establecidos para la revisión de  los pagos, con el fin de  establecer obligaciones, según lo establecido en el  Procedimiento de Gestión de Pagos. </t>
    </r>
    <r>
      <rPr>
        <b/>
        <sz val="11"/>
        <rFont val="Arial"/>
        <family val="2"/>
      </rPr>
      <t xml:space="preserve">2. </t>
    </r>
    <r>
      <rPr>
        <sz val="11"/>
        <rFont val="Arial"/>
        <family val="2"/>
      </rPr>
      <t xml:space="preserve">Solicitar a las áreas operativas el envío de los soportes de  los pagos que realicen con los recursos girados  desde la sede central. </t>
    </r>
    <r>
      <rPr>
        <b/>
        <sz val="11"/>
        <rFont val="Arial"/>
        <family val="2"/>
      </rPr>
      <t/>
    </r>
  </si>
  <si>
    <r>
      <rPr>
        <b/>
        <sz val="11"/>
        <color theme="1"/>
        <rFont val="Arial"/>
        <family val="2"/>
      </rPr>
      <t xml:space="preserve">1- </t>
    </r>
    <r>
      <rPr>
        <sz val="11"/>
        <color theme="1"/>
        <rFont val="Arial"/>
        <family val="2"/>
      </rPr>
      <t xml:space="preserve">Se reflejaría el registro mediante: </t>
    </r>
    <r>
      <rPr>
        <b/>
        <sz val="11"/>
        <color theme="1"/>
        <rFont val="Arial"/>
        <family val="2"/>
      </rPr>
      <t>a-</t>
    </r>
    <r>
      <rPr>
        <sz val="11"/>
        <color theme="1"/>
        <rFont val="Arial"/>
        <family val="2"/>
      </rPr>
      <t xml:space="preserve"> Cuadro en excel de los registro de proveedores y contratistas para control de pagos, impuestos y terceros en la sede central y áreas operativas.  </t>
    </r>
    <r>
      <rPr>
        <b/>
        <sz val="11"/>
        <color theme="1"/>
        <rFont val="Arial"/>
        <family val="2"/>
      </rPr>
      <t>b-</t>
    </r>
    <r>
      <rPr>
        <sz val="11"/>
        <color theme="1"/>
        <rFont val="Arial"/>
        <family val="2"/>
      </rPr>
      <t xml:space="preserve"> Conciliación de las órdenes de pago entre los grupos de Tesorería y Contabilidad. </t>
    </r>
    <r>
      <rPr>
        <b/>
        <sz val="11"/>
        <color theme="1"/>
        <rFont val="Arial"/>
        <family val="2"/>
      </rPr>
      <t xml:space="preserve">2. </t>
    </r>
    <r>
      <rPr>
        <sz val="11"/>
        <color theme="1"/>
        <rFont val="Arial"/>
        <family val="2"/>
      </rPr>
      <t>Facturas y/o recibos de pago debidamente cancelados con sus debidos soportes.</t>
    </r>
  </si>
  <si>
    <t>Coordinador Grupo de Atención al ciudadano</t>
  </si>
  <si>
    <t>Capacitaciones, 
Seguimiento  tiempos de respuesta, monitoreo, evaluación  a los procedimientos y controles del grupo</t>
  </si>
  <si>
    <t>1. Lista de asistencia, fotografías, material utilizado. 
2. Correos electrónicos y Formato seguimiento presencial.
3. Actas reuniones grupo A.C.</t>
  </si>
  <si>
    <t>1 Resolución 2071 del 30 de septiembre de 2015
2..Procedimiento de Atención al Ciudadano.
3. Formato Ordenado de registro PQRS
4. Formatos de Seguimiento PQRS.
5. Formato Reporte  PQRS  por dependencias.</t>
  </si>
  <si>
    <t>Informacion  aplicativo SIIF Nacion 
Informacion  Presupuestal actualizada bases de datos .</t>
  </si>
  <si>
    <t xml:space="preserve">Mensual </t>
  </si>
  <si>
    <t>1. Validar la información de las solicitudes de Certificados de Disponibilidad Presupuestal y compromisos adquiridos por el IDEAM de carácter contractual con el Plan de Contratación, la ejecución presupuestal y soportes, previo a su generación en el aplicativo SIIF Nación.
2. Verificar que la información registrada en el aplicativo SIIF Nación que ampara la contratación del Instituto esté acorde con la documentación soporte allegada.</t>
  </si>
  <si>
    <t xml:space="preserve">Informes de Ejecucion  presupuestal. </t>
  </si>
  <si>
    <t>Jefe Oficina de Control Interno</t>
  </si>
  <si>
    <t>Durante la vigencia 2016</t>
  </si>
  <si>
    <t>*Capacitaciones a todo el personal a la  diferentes normativa que soportan la seguridad  y lde la informacion, documentalesa nivel de seguridad de la informa
* Realizar Wall Paper y enviar a comunicacions para su difusion
*Actualizar procedimiento Procedimiento de Acceso a Servicios de Informacion.</t>
  </si>
  <si>
    <t>*Lista de asistencia de capacitacion 
*Wall paper publicado
* Procedimiento de Acceso a Servicios de Informacion actualizado en la Intranet</t>
  </si>
  <si>
    <t>Subdirectores</t>
  </si>
  <si>
    <t>Aplicativo Orfeo
Formato PQRS
Procedimientos documentados
Resolución uso ORFEO
Resolcuión tiempos de respuesta</t>
  </si>
  <si>
    <t xml:space="preserve">Durante la vigencia </t>
  </si>
  <si>
    <t xml:space="preserve">Actualizar procedimientos.
Incluir procedimientos en el SGI. </t>
  </si>
  <si>
    <t>Procedimientos actualizados. 
Procedimientos cargados en el SGI.</t>
  </si>
  <si>
    <t>*Proceso de capacitación y formación de auditores.
*Carta en la que se mencionan vínculos con laboratorios.
*Formato M-AC-EA-F004 REQUISITO PREVIO VISITA DE AUDITORES.</t>
  </si>
  <si>
    <t>Durante la vigencia</t>
  </si>
  <si>
    <t>* Capacitar al grupo de acreditación en temas de transparencia y anticorrupción</t>
  </si>
  <si>
    <t>Listas de asistencia</t>
  </si>
  <si>
    <t>Jefe de la Oficina Asesora de Planeación</t>
  </si>
  <si>
    <t xml:space="preserve">E-PI-P001 Procedimiento POA
ORFEOS
Seguimiento a la ejecución POA </t>
  </si>
  <si>
    <t>1. Seguimiento a la ejecución actividades POA 
2.Seguimiento indicadores POA</t>
  </si>
  <si>
    <t>Matriz POA</t>
  </si>
  <si>
    <t xml:space="preserve">Monitoreo de las redes sociales.
                                                                      Cambio periodico de claves.                                                          
Politica de Comunicaciones del IDEAM.
Monitoreo de medios de comunicación. </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</si>
  <si>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etica y el debido direccionamiento de la informacion noticiosa y tecnicocientifica que emite el Instituto.  </t>
  </si>
  <si>
    <t>Coordinador Grupo Documentación, Archivo y Correspondencia</t>
  </si>
  <si>
    <t>A-GD-I001 INSTRUCTIVO CREACION DE USUARIOS Y TERCEROS
A-GD-I002 INSTRUCTIVO ELABORACION Y MODIFICACION TRD
A-GD-M001 PROGRAMA DE GESTIÓN DOCUMENTAL
A-GD-P001 PROCEDIMIENTO ADMINISTRACION ARCHIVO CENTRAL
A-GD-P002 PROCEDIMIENTO DIGITALIZACION DOCUMENTOS.
A-GD-P004 PROCEDIMIENTO ORGANIZACION FISICA DOCUMENTOS RADICADOS.
A-GD-P005 PROCEDIMIENTO PRESTAMO DE DOCUMENTOS
A-GD-P006 PROCEDIMIENTO RECEPCION, RADICACION Y ENVIO CORRESPONDENCIA INTERNA Y EXTERNA</t>
  </si>
  <si>
    <t>1. Socialización interna (en el Grupo de trabajo) y externa (los demás grupos de trabajo) 
2. Mantener actualizados los manuales de procedimeintos             
3. Mantener actualizado el normograma</t>
  </si>
  <si>
    <t>Manuales procedimientos instructivos memorandos normograma, lista de asistencia</t>
  </si>
  <si>
    <t xml:space="preserve">
Realizar reuniones de apertura y  cierre con el lider del proceso y auditados informando  los aspectos más relevantes,  generando recomendaciones.
Proced.  De Auditoria Interna Cod. C-EM-P001 Acitividad 10 
Formulacion y aprobacion plan de Mejoramiento, Proced. Gestion de planes de mejoramiento Codigo CEM-P002</t>
  </si>
  <si>
    <t>01/02/2017 a 30/11/2017</t>
  </si>
  <si>
    <t xml:space="preserve">Actividades descritas en el procedimiento Planes de mejora - Ejecución Seguimiento Planes de Mejoramiento actividades 4 a 9.
Realizar reuniones de acompañamiento/asesoría con los funcionarios de los diferentes procesos institucionales.  </t>
  </si>
  <si>
    <t>Actas de reuniones con los funcionarios de los procesos institucionales.
Informes de seguimiento a los Planes de mejoramiento suscritos con las dependencias</t>
  </si>
  <si>
    <t>Servdiores de la Oficina de Control Interno</t>
  </si>
  <si>
    <t xml:space="preserve">Revisión y elaboración del Informe de Auditoria por el Jefe de Oficina de Control Interno  y/o Representante de la Alta Dirección.
Proced.  De Auditoria Interna Cod. C-EM-P001 Actividades 11 y 12 . 
Código de Ética de los servidores de la Oficina de Control Interno.
</t>
  </si>
  <si>
    <t xml:space="preserve">
Reuniones de retroalimentación/estudio con los servidores de la Oficina de Control Interno. 
Revisar  en las reuniones de retroalimentación y de forma periódica, el cumplimiento de las disposiciones definidas en el Código de Ética de los servidores públicos de la Oficina de Control Interno</t>
  </si>
  <si>
    <t xml:space="preserve">Actas de reuniones de retroalimentación/estudio. </t>
  </si>
  <si>
    <t>1. PROCEDIMIENTOS:A-GF-I003 Instructivo Giro y Pago de Cheques, A-GF-P005 Procedimiento Gestión de Pagos.
      2.FORMATOS: A-GF-F011 Formato de Novedades Cuentas Bancarias. 
3.  SOFTWARE:  SIIF NACION II, ORFEO y GESTION SEGURIDAD ELECTRONICA (Token-firma digital).</t>
  </si>
  <si>
    <t xml:space="preserve">Desconocimiento de la Ley Disciplinaria.                                         Posible interes indebido en la desición  disciplinaria   </t>
  </si>
  <si>
    <t>Nulidades, Investigaciones disciplinarias , denuncias penales, reacusaciones.</t>
  </si>
  <si>
    <t>Condenas penales a los servidores involucrados.       Sanciones disciplinarias a los servidores involucrados.             Reacusación del funcionario que profiere o sustancia la decisión.   Resignación del expediente. Perdida de credibilidad del Dspacho.  Intervención de los organos de control.</t>
  </si>
  <si>
    <t xml:space="preserve">numero de tutelas, denuncias o recursos sore el número de decisiones de fondo tomadas por el Grupo.                                                     Cantidad de Visitas Especiales por parte de los Organos de Control.                                                  Solicitudes por parte de los sujetos procesales para supervigilancia administrativa o el  ejercicio de l poder preferente.  </t>
  </si>
  <si>
    <t>SISTEMA DE GESTIÓN DOCUMENTAL ORFEO</t>
  </si>
  <si>
    <t>Diseño e implementación del formato de control y numeración de autos (Decisiones de fondo de trámite)
Sistema de Gestión Documental Orfeo.</t>
  </si>
  <si>
    <t>Primer Semestre de 2017</t>
  </si>
  <si>
    <t>Enero - Diciembre vigencia 2017</t>
  </si>
  <si>
    <t>27-01-2017</t>
  </si>
  <si>
    <t>Gestión de Servicios Administrativos</t>
  </si>
  <si>
    <t>Coordinador del Grupo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</si>
</sst>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font>
    <font>
      <sz val="11"/>
      <name val="Arial"/>
      <family val="2"/>
    </font>
    <font>
      <b/>
      <sz val="11"/>
      <name val="Arial"/>
      <family val="2"/>
    </font>
    <font>
      <sz val="10"/>
      <color theme="1"/>
      <name val="Arial"/>
      <family val="2"/>
    </font>
    <font>
      <sz val="11"/>
      <color theme="1"/>
      <name val="Arial"/>
      <family val="2"/>
    </font>
    <font>
      <sz val="10"/>
      <name val="Arial"/>
    </font>
    <font>
      <b/>
      <sz val="11"/>
      <color rgb="FF000000"/>
      <name val="Arial"/>
      <family val="2"/>
    </font>
    <font>
      <sz val="11"/>
      <color rgb="FF000000"/>
      <name val="Arial"/>
      <family val="2"/>
    </font>
    <font>
      <b/>
      <sz val="11"/>
      <color rgb="FF276F5E"/>
      <name val="Arial"/>
      <family val="2"/>
    </font>
    <font>
      <b/>
      <sz val="11"/>
      <color rgb="FFFFFF00"/>
      <name val="Arial"/>
      <family val="2"/>
    </font>
    <font>
      <b/>
      <sz val="11"/>
      <color theme="9" tint="-0.249977111117893"/>
      <name val="Arial"/>
      <family val="2"/>
    </font>
    <font>
      <b/>
      <sz val="11"/>
      <color rgb="FFFF3300"/>
      <name val="Arial"/>
      <family val="2"/>
    </font>
    <font>
      <b/>
      <sz val="11"/>
      <color theme="1"/>
      <name val="Arial"/>
      <family val="2"/>
    </font>
    <font>
      <sz val="11"/>
      <color rgb="FFFF0000"/>
      <name val="Arial"/>
      <family val="2"/>
    </font>
    <font>
      <b/>
      <sz val="9"/>
      <color indexed="81"/>
      <name val="Tahoma"/>
      <family val="2"/>
    </font>
    <font>
      <sz val="48"/>
      <color rgb="FFFF0000"/>
      <name val="Arial"/>
      <family val="2"/>
    </font>
    <font>
      <sz val="10"/>
      <name val="Arial Narrow"/>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276F5E"/>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s>
  <cellStyleXfs count="3">
    <xf numFmtId="0" fontId="0" fillId="0" borderId="0"/>
    <xf numFmtId="0" fontId="1" fillId="0" borderId="0"/>
    <xf numFmtId="0" fontId="6" fillId="0" borderId="0"/>
  </cellStyleXfs>
  <cellXfs count="120">
    <xf numFmtId="0" fontId="0" fillId="0" borderId="0" xfId="0"/>
    <xf numFmtId="0" fontId="4" fillId="0" borderId="0" xfId="1" applyFont="1" applyFill="1" applyBorder="1" applyAlignment="1">
      <alignment vertical="center" wrapText="1"/>
    </xf>
    <xf numFmtId="0" fontId="2" fillId="0" borderId="0" xfId="1" applyFont="1" applyAlignment="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vertical="center"/>
    </xf>
    <xf numFmtId="49" fontId="2" fillId="0" borderId="0" xfId="1" applyNumberFormat="1" applyFont="1" applyBorder="1" applyAlignment="1">
      <alignment horizontal="left" vertical="center"/>
    </xf>
    <xf numFmtId="0" fontId="2" fillId="0" borderId="0" xfId="1" applyFont="1" applyAlignment="1">
      <alignment horizontal="left" vertical="center"/>
    </xf>
    <xf numFmtId="0" fontId="2" fillId="0" borderId="0" xfId="1" applyNumberFormat="1" applyFont="1" applyBorder="1" applyAlignment="1">
      <alignment vertical="top" wrapText="1"/>
    </xf>
    <xf numFmtId="0" fontId="3" fillId="0" borderId="0" xfId="1" applyFont="1" applyAlignment="1">
      <alignment vertical="center"/>
    </xf>
    <xf numFmtId="0" fontId="2" fillId="0" borderId="0" xfId="1" applyNumberFormat="1" applyFont="1" applyBorder="1" applyAlignment="1">
      <alignment horizontal="left" vertical="center" wrapText="1"/>
    </xf>
    <xf numFmtId="49" fontId="2" fillId="0" borderId="0" xfId="1" applyNumberFormat="1" applyFont="1" applyBorder="1" applyAlignment="1">
      <alignment vertical="center"/>
    </xf>
    <xf numFmtId="0" fontId="2" fillId="0" borderId="0" xfId="1" applyFont="1" applyBorder="1" applyAlignment="1">
      <alignment horizontal="left" vertical="center"/>
    </xf>
    <xf numFmtId="0" fontId="3" fillId="0" borderId="0" xfId="1" applyFont="1" applyAlignment="1">
      <alignment horizontal="center" vertical="center"/>
    </xf>
    <xf numFmtId="49" fontId="2" fillId="0" borderId="0" xfId="1" applyNumberFormat="1" applyFont="1" applyBorder="1" applyAlignment="1">
      <alignment horizontal="center" vertical="center"/>
    </xf>
    <xf numFmtId="0" fontId="3" fillId="2" borderId="2" xfId="1" applyFont="1" applyFill="1" applyBorder="1" applyAlignment="1">
      <alignment horizontal="center" vertical="center" wrapText="1"/>
    </xf>
    <xf numFmtId="0" fontId="2" fillId="0" borderId="0" xfId="1" applyFont="1" applyFill="1" applyAlignment="1">
      <alignment vertical="center"/>
    </xf>
    <xf numFmtId="0" fontId="2" fillId="2" borderId="1" xfId="1"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5" fillId="3" borderId="1" xfId="2"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5" xfId="1" applyFont="1" applyFill="1" applyBorder="1" applyAlignment="1">
      <alignment horizontal="left" vertical="center" wrapText="1"/>
    </xf>
    <xf numFmtId="0" fontId="2" fillId="0" borderId="1" xfId="1" applyFont="1" applyBorder="1" applyAlignment="1">
      <alignment vertical="center"/>
    </xf>
    <xf numFmtId="0" fontId="5" fillId="0" borderId="0" xfId="1" applyFont="1" applyFill="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center" vertical="center"/>
    </xf>
    <xf numFmtId="0" fontId="2" fillId="0" borderId="0" xfId="1" applyFont="1" applyFill="1" applyAlignment="1">
      <alignment horizontal="center" vertical="center"/>
    </xf>
    <xf numFmtId="0" fontId="2" fillId="0" borderId="0" xfId="1" applyFont="1" applyBorder="1" applyAlignment="1">
      <alignment vertical="center" wrapText="1"/>
    </xf>
    <xf numFmtId="0" fontId="5" fillId="0" borderId="0" xfId="1" applyFont="1" applyBorder="1" applyAlignment="1">
      <alignment horizontal="center" vertical="center"/>
    </xf>
    <xf numFmtId="0" fontId="7" fillId="0" borderId="20" xfId="1" applyFont="1" applyBorder="1" applyAlignment="1">
      <alignment horizontal="center" vertical="center" wrapText="1" readingOrder="1"/>
    </xf>
    <xf numFmtId="0" fontId="7" fillId="0" borderId="20" xfId="1" applyFont="1" applyBorder="1" applyAlignment="1">
      <alignment horizontal="center" vertical="center" wrapText="1"/>
    </xf>
    <xf numFmtId="0" fontId="7" fillId="0" borderId="21" xfId="1" applyFont="1" applyBorder="1" applyAlignment="1">
      <alignment horizontal="left" vertical="center" wrapText="1" readingOrder="1"/>
    </xf>
    <xf numFmtId="0" fontId="8" fillId="5" borderId="21" xfId="1" applyFont="1" applyFill="1" applyBorder="1" applyAlignment="1">
      <alignment horizontal="center" vertical="center" wrapText="1" readingOrder="1"/>
    </xf>
    <xf numFmtId="0" fontId="8" fillId="6" borderId="21" xfId="1" applyFont="1" applyFill="1" applyBorder="1" applyAlignment="1">
      <alignment horizontal="center" vertical="center" wrapText="1" readingOrder="1"/>
    </xf>
    <xf numFmtId="0" fontId="8" fillId="7" borderId="21" xfId="1" applyFont="1" applyFill="1" applyBorder="1" applyAlignment="1">
      <alignment horizontal="center" vertical="center" wrapText="1" readingOrder="1"/>
    </xf>
    <xf numFmtId="0" fontId="8" fillId="8" borderId="21" xfId="1" applyFont="1" applyFill="1" applyBorder="1" applyAlignment="1">
      <alignment horizontal="center" vertical="center" wrapText="1" readingOrder="1"/>
    </xf>
    <xf numFmtId="0" fontId="9" fillId="0" borderId="0" xfId="1" applyFont="1" applyAlignment="1">
      <alignment horizontal="left" vertical="center" readingOrder="1"/>
    </xf>
    <xf numFmtId="0" fontId="10" fillId="0" borderId="0" xfId="1" applyFont="1" applyAlignment="1">
      <alignment horizontal="left" vertical="center" readingOrder="1"/>
    </xf>
    <xf numFmtId="0" fontId="11" fillId="0" borderId="0" xfId="1" applyFont="1" applyAlignment="1">
      <alignment horizontal="left" vertical="center" readingOrder="1"/>
    </xf>
    <xf numFmtId="0" fontId="12" fillId="0" borderId="0" xfId="1" applyFont="1" applyAlignment="1">
      <alignment horizontal="left" vertical="center" readingOrder="1"/>
    </xf>
    <xf numFmtId="14" fontId="2" fillId="3" borderId="5" xfId="1" applyNumberFormat="1" applyFont="1" applyFill="1" applyBorder="1" applyAlignment="1">
      <alignment horizontal="center" vertical="center" wrapText="1"/>
    </xf>
    <xf numFmtId="14" fontId="2" fillId="0" borderId="1" xfId="1" applyNumberFormat="1" applyFont="1" applyBorder="1" applyAlignment="1">
      <alignment horizontal="center" vertical="center"/>
    </xf>
    <xf numFmtId="0" fontId="5" fillId="3" borderId="1" xfId="1" applyFont="1" applyFill="1" applyBorder="1" applyAlignment="1">
      <alignment horizontal="center" vertical="center" wrapText="1"/>
    </xf>
    <xf numFmtId="0" fontId="2" fillId="0" borderId="0" xfId="1" applyFont="1" applyAlignment="1">
      <alignment vertical="center" wrapText="1"/>
    </xf>
    <xf numFmtId="0" fontId="5" fillId="0"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justify" vertical="center" wrapText="1"/>
    </xf>
    <xf numFmtId="0" fontId="2" fillId="0" borderId="1" xfId="1" applyFont="1" applyFill="1" applyBorder="1" applyAlignment="1">
      <alignment horizontal="justify" vertical="center" wrapText="1"/>
    </xf>
    <xf numFmtId="0" fontId="2" fillId="0" borderId="1" xfId="1" applyFont="1" applyFill="1" applyBorder="1" applyAlignment="1">
      <alignment vertical="center" wrapText="1"/>
    </xf>
    <xf numFmtId="0" fontId="16" fillId="0" borderId="0" xfId="1" applyFont="1" applyFill="1" applyBorder="1" applyAlignment="1">
      <alignment vertical="center"/>
    </xf>
    <xf numFmtId="0" fontId="2" fillId="0" borderId="1" xfId="1" applyFont="1" applyBorder="1" applyAlignment="1">
      <alignment horizontal="center" vertical="center"/>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 xfId="1" applyFont="1" applyBorder="1" applyAlignment="1">
      <alignment horizontal="center" vertical="center"/>
    </xf>
    <xf numFmtId="0" fontId="17" fillId="0" borderId="1" xfId="1" applyNumberFormat="1" applyFont="1" applyBorder="1" applyAlignment="1" applyProtection="1">
      <alignment horizontal="left" vertical="center" wrapText="1"/>
    </xf>
    <xf numFmtId="0" fontId="2" fillId="3" borderId="1" xfId="1" applyFont="1" applyFill="1" applyBorder="1" applyAlignment="1" applyProtection="1">
      <alignment horizontal="center" vertical="center" wrapText="1"/>
      <protection locked="0"/>
    </xf>
    <xf numFmtId="0" fontId="17" fillId="0" borderId="1" xfId="1" applyFont="1" applyFill="1" applyBorder="1" applyAlignment="1" applyProtection="1">
      <alignment horizontal="left" vertical="center" wrapText="1"/>
      <protection locked="0"/>
    </xf>
    <xf numFmtId="0" fontId="2" fillId="0" borderId="1" xfId="1" applyFont="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3" fillId="0" borderId="1" xfId="1" applyFont="1" applyBorder="1" applyAlignment="1">
      <alignment horizontal="center" vertical="center"/>
    </xf>
    <xf numFmtId="0" fontId="2" fillId="0" borderId="5" xfId="1" applyFont="1" applyBorder="1" applyAlignment="1">
      <alignment horizontal="left" vertical="center"/>
    </xf>
    <xf numFmtId="0" fontId="2" fillId="0" borderId="12" xfId="1" applyFont="1" applyBorder="1" applyAlignment="1">
      <alignment horizontal="left" vertical="center"/>
    </xf>
    <xf numFmtId="0" fontId="2" fillId="0" borderId="6" xfId="1" applyFont="1" applyBorder="1" applyAlignment="1">
      <alignment horizontal="left" vertical="center"/>
    </xf>
    <xf numFmtId="0" fontId="2" fillId="0" borderId="5" xfId="1" applyNumberFormat="1" applyFont="1" applyBorder="1" applyAlignment="1">
      <alignment horizontal="left" vertical="top" wrapText="1"/>
    </xf>
    <xf numFmtId="0" fontId="2" fillId="0" borderId="12" xfId="1" applyNumberFormat="1" applyFont="1" applyBorder="1" applyAlignment="1">
      <alignment horizontal="left" vertical="top" wrapText="1"/>
    </xf>
    <xf numFmtId="0" fontId="2" fillId="0" borderId="6" xfId="1" applyNumberFormat="1" applyFont="1" applyBorder="1" applyAlignment="1">
      <alignment horizontal="left" vertical="top" wrapText="1"/>
    </xf>
    <xf numFmtId="49" fontId="2" fillId="0" borderId="5" xfId="1" applyNumberFormat="1" applyFont="1" applyBorder="1" applyAlignment="1">
      <alignment horizontal="left" vertical="center"/>
    </xf>
    <xf numFmtId="49" fontId="2" fillId="0" borderId="12" xfId="1" applyNumberFormat="1" applyFont="1" applyBorder="1" applyAlignment="1">
      <alignment horizontal="left" vertical="center"/>
    </xf>
    <xf numFmtId="49" fontId="2" fillId="0" borderId="6" xfId="1" applyNumberFormat="1" applyFont="1" applyBorder="1" applyAlignment="1">
      <alignment horizontal="left" vertical="center"/>
    </xf>
    <xf numFmtId="0" fontId="5" fillId="0" borderId="1"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7" fillId="4" borderId="17" xfId="1" applyFont="1" applyFill="1" applyBorder="1" applyAlignment="1">
      <alignment horizontal="center" vertical="center" wrapText="1" readingOrder="1"/>
    </xf>
    <xf numFmtId="0" fontId="7" fillId="4" borderId="20" xfId="1" applyFont="1" applyFill="1" applyBorder="1" applyAlignment="1">
      <alignment horizontal="center" vertical="center" wrapText="1" readingOrder="1"/>
    </xf>
    <xf numFmtId="0" fontId="7" fillId="4" borderId="18" xfId="1" applyFont="1" applyFill="1" applyBorder="1" applyAlignment="1">
      <alignment horizontal="center" vertical="center" readingOrder="1"/>
    </xf>
    <xf numFmtId="0" fontId="7" fillId="4" borderId="19" xfId="1" applyFont="1" applyFill="1" applyBorder="1" applyAlignment="1">
      <alignment horizontal="center" vertical="center" readingOrder="1"/>
    </xf>
    <xf numFmtId="0" fontId="2" fillId="0" borderId="0" xfId="1" applyFont="1" applyAlignment="1">
      <alignment horizontal="center" vertical="center" wrapText="1"/>
    </xf>
    <xf numFmtId="0" fontId="2" fillId="0" borderId="22" xfId="1" applyFont="1" applyBorder="1" applyAlignment="1">
      <alignment horizontal="center" vertical="center" wrapText="1"/>
    </xf>
  </cellXfs>
  <cellStyles count="3">
    <cellStyle name="Normal" xfId="0" builtinId="0"/>
    <cellStyle name="Normal 2" xfId="1"/>
    <cellStyle name="Normal 3" xfId="2"/>
  </cellStyles>
  <dxfs count="64">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6929527</xdr:colOff>
      <xdr:row>0</xdr:row>
      <xdr:rowOff>72159</xdr:rowOff>
    </xdr:from>
    <xdr:to>
      <xdr:col>0</xdr:col>
      <xdr:colOff>10731501</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309902" y="72159"/>
          <a:ext cx="1499" cy="920199"/>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2533650</xdr:colOff>
      <xdr:row>0</xdr:row>
      <xdr:rowOff>76200</xdr:rowOff>
    </xdr:from>
    <xdr:to>
      <xdr:col>2</xdr:col>
      <xdr:colOff>276225</xdr:colOff>
      <xdr:row>3</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76200"/>
          <a:ext cx="3190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4212427" cy="92019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6929527</xdr:colOff>
      <xdr:row>0</xdr:row>
      <xdr:rowOff>72159</xdr:rowOff>
    </xdr:from>
    <xdr:to>
      <xdr:col>0</xdr:col>
      <xdr:colOff>10731501</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757327" y="72159"/>
          <a:ext cx="1499" cy="57729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2532151</xdr:colOff>
      <xdr:row>0</xdr:row>
      <xdr:rowOff>72159</xdr:rowOff>
    </xdr:from>
    <xdr:to>
      <xdr:col>2</xdr:col>
      <xdr:colOff>277103</xdr:colOff>
      <xdr:row>3</xdr:row>
      <xdr:rowOff>173208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532151" y="72159"/>
          <a:ext cx="3193252" cy="92019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20RIESGOS%20CORRUPCI&#211;N%20comunicacion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PI-F006%20FORMATO%20MAPA%20DE%20RIESGO%20contabilida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APA%20DE%20RIESGOS%20ANTICORRUPCION%20presupuest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ORMATO%20MAPA%20DE%20RIESGO%20TESORERI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E-PI-F006%20FORMATO%20MAPA%20DE%20RIESGO%20INF%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PI-F006%20FORMATO%20MAPA%20DE%20RIESGO%20recursos%20f&#237;sico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E-PI-F006%20FORMATO%20MAPA%20DE%20RIESGO%20TH.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ORMATO%20MAPA%20DE%20RIESGO%20Disciplinari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MATRIZ_INTEGRADA_GESTI&#211;N_CORRUPCI&#211;N%20Disciplinari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apa%20de%20corrupci&#243;n%20control%20intern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Planeacion\AppData\Local\Microsoft\Windows\INetCache\Content.Outlook\F6Y4KEGV\Mapa%20de%20corrupci&#243;n%20control%20intern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PI-F006%20FORMATO%20MAPA%20DE%20RIESGO%20Plane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PI-F006%20FORMATO%20MAPA%20DE%20RIESGOGenerar%20datos%20e%20inform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PI-F006%20FORMATO%20MAPA%20DE%20RIESGO%20Generar%20conocimiento%20e%20investig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PI-F006%20FORMATO%20MAPA%20DE%20RIESGO%20servici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PI-F006%20FORMATO%20MAPA%20DE%20RIESGO%20Atenci&#243;n%20al%20cidadano%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PA%20DE%20RIESGO%20CORRUPCI&#211;N%20Gesti&#243;n%20Documental%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PI-F006%20FORMATO%20MAPA%20DE%20RIESGO%20juridic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PI-F006%20FORMATO%20MAPA%20DE%20RIESGO%20INF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R1"/>
      <sheetName val="ImpactoRiesgoCorrup R2"/>
      <sheetName val="ImpactoRiesgoCorrupR3"/>
      <sheetName val="AnálisisRiesgo"/>
      <sheetName val="EvaluaciónRiesgoCorrupR1"/>
      <sheetName val="EvaluaciónRiesgoCorrupR2"/>
      <sheetName val="EvaluaciónRiesgoCorrupR3"/>
      <sheetName val="EvaluaciónRiesgoGestión"/>
      <sheetName val="MapaRiesgos,"/>
      <sheetName val="Anterior"/>
      <sheetName val="MapaRiesgos Gest Comunicaciones"/>
    </sheetNames>
    <sheetDataSet>
      <sheetData sheetId="0"/>
      <sheetData sheetId="1">
        <row r="2">
          <cell r="B2" t="str">
            <v>GESTIÓN DE COMUNICACIONES</v>
          </cell>
        </row>
        <row r="3">
          <cell r="B3" t="str">
            <v xml:space="preserve">Diseñar, estandarizar, promover y evaluar las estrategias de comunicación interna y externa y de redes sociales del Instituto, que permitan mantener informados a los clientes y/o usuarios sobre las decisiones, acontecimientos y demás hechos de interés general, promovidos y/o organizados por la entidad.
</v>
          </cell>
        </row>
        <row r="6">
          <cell r="A6" t="str">
            <v xml:space="preserve">Obetenr algun beneficio personal o dinero adicional, con la información técnico científica que genera el Instituto.
                                                                                                                                                                                                                                                                                                                                                                                                                                                                                                  </v>
          </cell>
          <cell r="B6" t="str">
            <v>Utilizar indebidamente la información noticiosa previo a su publicación en los diferentes canales como la Web, el Twitter o el Facebook de la Entidad.</v>
          </cell>
          <cell r="D6" t="str">
            <v>1. Hallazgos en auditorias de los entes de Control. 
2. Perdida de credibilidad en la gestión de la Entidad. 
3. Generacion de panico, alertas y desconfiaza. 
4. Deterioro de imagen y perpecion de
ciudadano sobre la gestion de la entidad.</v>
          </cell>
        </row>
        <row r="7">
          <cell r="A7" t="str">
            <v xml:space="preserve">Falta de control en la priorización de la información que se emite a los usuarios. 
Falta de conocimiento de los funcionarios por cumplir con el deber del libre accaeso a la información como derecho fundamental de los ciudadanos. </v>
          </cell>
          <cell r="B7" t="str">
            <v xml:space="preserve">Ocultar información clave para ciudadanía en caulquier proceso de Rendicion de Cuentas. </v>
          </cell>
          <cell r="D7" t="str">
            <v xml:space="preserve">1. Desinformación frente a la función y gestión de la entidad.  
2.Ocultar Información importante en la rendición de cuentas facilita la apropiación ilegal en beneficio propio o de un tercero, de los bienes y recursos del Estado.
3. Ocultar Información importante en la rendición de cuentas abre
posibilidades para el  aprovechamiento de datos confidenciales para beneficio propio.
4. Deterioro de imagen y perpecion de
ciudadano sobre la gestion de la entidad.
 </v>
          </cell>
        </row>
        <row r="8">
          <cell r="A8" t="str">
            <v xml:space="preserve">Desconocimiento de roles y responsabilidades frente a divulgacion de la informacion noticiosa por parte de los funcionarios del Grupo de comunicaciones IDEAM.
Pronunciamientos confusos para usuarios y partes interesadas sobre el IDEAM.
Entrega incompleta y/o extemporanea de la información, por parte de los diferentes procesos.
</v>
          </cell>
          <cell r="B8" t="str">
            <v>Manipular y divulgar informacion noticiosa, incompleta, confusa e inadecuada a usuarios y partes interesadas relacionada con planes, proyectos, programas, servicios, tramites y actividades del instituto, en beneficio particular.</v>
          </cell>
          <cell r="D8" t="str">
            <v>1. Hallazgos en auditorias de los entes de Control. 
2. Perdida de credibilidad en la gestión de la Entidad. 
3. Generacion de panico, alertas y desconfiaza. 
4. Deterioro de imagen y perpecion de ciudadano sobre la gestion de la entidad.</v>
          </cell>
        </row>
      </sheetData>
      <sheetData sheetId="2"/>
      <sheetData sheetId="3"/>
      <sheetData sheetId="4"/>
      <sheetData sheetId="5"/>
      <sheetData sheetId="6">
        <row r="9">
          <cell r="B9">
            <v>0</v>
          </cell>
          <cell r="C9">
            <v>0</v>
          </cell>
          <cell r="D9">
            <v>0</v>
          </cell>
          <cell r="E9">
            <v>0</v>
          </cell>
          <cell r="F9" t="str">
            <v>X</v>
          </cell>
          <cell r="G9">
            <v>0</v>
          </cell>
          <cell r="H9">
            <v>0</v>
          </cell>
          <cell r="I9">
            <v>0</v>
          </cell>
          <cell r="J9">
            <v>0</v>
          </cell>
          <cell r="K9">
            <v>0</v>
          </cell>
          <cell r="L9" t="str">
            <v>X</v>
          </cell>
          <cell r="M9">
            <v>0</v>
          </cell>
          <cell r="N9">
            <v>0</v>
          </cell>
        </row>
        <row r="10">
          <cell r="B10">
            <v>0</v>
          </cell>
          <cell r="C10">
            <v>0</v>
          </cell>
          <cell r="D10">
            <v>0</v>
          </cell>
          <cell r="E10">
            <v>0</v>
          </cell>
          <cell r="F10" t="str">
            <v>X</v>
          </cell>
          <cell r="G10">
            <v>0</v>
          </cell>
          <cell r="H10">
            <v>0</v>
          </cell>
          <cell r="I10">
            <v>0</v>
          </cell>
          <cell r="J10">
            <v>0</v>
          </cell>
          <cell r="K10">
            <v>0</v>
          </cell>
          <cell r="L10" t="str">
            <v>X</v>
          </cell>
          <cell r="M10">
            <v>0</v>
          </cell>
          <cell r="N10">
            <v>0</v>
          </cell>
        </row>
        <row r="11">
          <cell r="B11">
            <v>0</v>
          </cell>
          <cell r="C11">
            <v>0</v>
          </cell>
          <cell r="D11">
            <v>0</v>
          </cell>
          <cell r="E11">
            <v>0</v>
          </cell>
          <cell r="F11" t="str">
            <v>X</v>
          </cell>
          <cell r="G11">
            <v>0</v>
          </cell>
          <cell r="H11">
            <v>0</v>
          </cell>
          <cell r="I11">
            <v>0</v>
          </cell>
          <cell r="J11">
            <v>0</v>
          </cell>
          <cell r="K11">
            <v>0</v>
          </cell>
          <cell r="L11" t="str">
            <v>X</v>
          </cell>
          <cell r="M11">
            <v>0</v>
          </cell>
          <cell r="N11">
            <v>0</v>
          </cell>
        </row>
      </sheetData>
      <sheetData sheetId="7"/>
      <sheetData sheetId="8"/>
      <sheetData sheetId="9">
        <row r="11">
          <cell r="F11">
            <v>85</v>
          </cell>
        </row>
      </sheetData>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1"/>
      <sheetName val="ImpactoRiesgoCorrup (2)"/>
      <sheetName val="ImpactoRiesgoCorrup (3)"/>
      <sheetName val="ImpactoRiesgoCorrup (4)"/>
      <sheetName val="AnálisisRiesgo"/>
      <sheetName val="EvaluaciónRiesgoCorrup 1"/>
      <sheetName val="EvaluaciónRiesgoCorrup  (2)"/>
      <sheetName val="EvaluaciónRiesgoCorrup  (3)"/>
      <sheetName val="EvaluaciónRiesgoCorrup  (4)"/>
      <sheetName val="EvaluaciónRiesgoGestión"/>
      <sheetName val="MapaRiesgos,"/>
      <sheetName val="Anterior"/>
      <sheetName val="MapaRiesgos Gest Finan-Contab"/>
    </sheetNames>
    <sheetDataSet>
      <sheetData sheetId="0"/>
      <sheetData sheetId="1">
        <row r="2">
          <cell r="B2" t="str">
            <v>Gestión Financiera-Contabilidad</v>
          </cell>
        </row>
        <row r="3">
          <cell r="B3" t="str">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ell>
        </row>
        <row r="6">
          <cell r="A6" t="str">
            <v>Inadecuada revisión de los soportes presentados para el trámite de cuentas.</v>
          </cell>
          <cell r="B6" t="str">
            <v>Beneficio a tercero al ordenar o efectuar pagos sin el lleno de los requisitos legales.</v>
          </cell>
          <cell r="D6" t="str">
            <v>Sanciones disciplinarias por parte de los entes de control</v>
          </cell>
        </row>
        <row r="7">
          <cell r="A7" t="str">
            <v>Ofrecimiento de prevendas al funcionario encargado del establecimiento de los indicadores</v>
          </cell>
          <cell r="B7" t="str">
            <v>Favorecimiento económico a terceros en las licitaciones del Instituto.</v>
          </cell>
          <cell r="D7" t="str">
            <v>Corrupción de Funcionario y/o contratista del grupo de contabilidad y sanciones disciplinarias por parte de los entes de control</v>
          </cell>
        </row>
        <row r="8">
          <cell r="A8" t="str">
            <v>Ofrecimiento de prevendas al funcionario encargado de la amortizacion de los anticipos</v>
          </cell>
          <cell r="B8" t="str">
            <v xml:space="preserve">Favorecer a los proveedores de contratos con la bolsa mercantil. </v>
          </cell>
          <cell r="D8" t="str">
            <v>Corrupción de Funcionario y/o contratista del grupo de contabilidad y sanciones disciplinarias por parte de los entes de control</v>
          </cell>
        </row>
        <row r="9">
          <cell r="A9" t="str">
            <v>Inadecuada revisión de los soportes presentados para el trámite de la comision y /o ofrecimiento de prevendas al encargado del tramite de la comision.</v>
          </cell>
          <cell r="B9" t="str">
            <v>Favorecimiento a funcionarios y/o contratistas con la consecución de recursos no debidos.</v>
          </cell>
          <cell r="D9" t="str">
            <v>Corrupción de Funcionario y/o contratista del grupo de contabilidad y sanciones disciplinarias por parte de los entes de control</v>
          </cell>
        </row>
      </sheetData>
      <sheetData sheetId="2"/>
      <sheetData sheetId="3"/>
      <sheetData sheetId="4"/>
      <sheetData sheetId="5"/>
      <sheetData sheetId="6"/>
      <sheetData sheetId="7">
        <row r="9">
          <cell r="B9">
            <v>0</v>
          </cell>
          <cell r="C9">
            <v>0</v>
          </cell>
          <cell r="D9">
            <v>0</v>
          </cell>
          <cell r="E9">
            <v>0</v>
          </cell>
          <cell r="F9" t="str">
            <v>x</v>
          </cell>
          <cell r="G9">
            <v>0</v>
          </cell>
          <cell r="H9">
            <v>0</v>
          </cell>
          <cell r="I9">
            <v>0</v>
          </cell>
          <cell r="J9">
            <v>0</v>
          </cell>
          <cell r="K9">
            <v>0</v>
          </cell>
          <cell r="L9">
            <v>0</v>
          </cell>
          <cell r="M9" t="str">
            <v>x</v>
          </cell>
          <cell r="N9">
            <v>0</v>
          </cell>
        </row>
        <row r="10">
          <cell r="B10">
            <v>0</v>
          </cell>
          <cell r="C10">
            <v>0</v>
          </cell>
          <cell r="D10">
            <v>0</v>
          </cell>
          <cell r="E10">
            <v>0</v>
          </cell>
          <cell r="F10" t="str">
            <v>x</v>
          </cell>
          <cell r="G10">
            <v>0</v>
          </cell>
          <cell r="H10">
            <v>0</v>
          </cell>
          <cell r="I10">
            <v>0</v>
          </cell>
          <cell r="J10">
            <v>0</v>
          </cell>
          <cell r="K10">
            <v>0</v>
          </cell>
          <cell r="L10">
            <v>0</v>
          </cell>
          <cell r="M10" t="str">
            <v>x</v>
          </cell>
          <cell r="N10">
            <v>0</v>
          </cell>
        </row>
        <row r="11">
          <cell r="B11">
            <v>0</v>
          </cell>
          <cell r="C11">
            <v>0</v>
          </cell>
          <cell r="D11">
            <v>0</v>
          </cell>
          <cell r="E11">
            <v>0</v>
          </cell>
          <cell r="F11" t="str">
            <v>x</v>
          </cell>
          <cell r="G11">
            <v>0</v>
          </cell>
          <cell r="H11">
            <v>0</v>
          </cell>
          <cell r="I11">
            <v>0</v>
          </cell>
          <cell r="J11">
            <v>0</v>
          </cell>
          <cell r="K11">
            <v>0</v>
          </cell>
          <cell r="L11">
            <v>0</v>
          </cell>
          <cell r="M11" t="str">
            <v>x</v>
          </cell>
          <cell r="N11">
            <v>0</v>
          </cell>
        </row>
        <row r="12">
          <cell r="B12">
            <v>0</v>
          </cell>
          <cell r="C12">
            <v>0</v>
          </cell>
          <cell r="D12">
            <v>0</v>
          </cell>
          <cell r="E12">
            <v>0</v>
          </cell>
          <cell r="F12" t="str">
            <v>x</v>
          </cell>
          <cell r="G12">
            <v>0</v>
          </cell>
          <cell r="H12">
            <v>0</v>
          </cell>
          <cell r="I12">
            <v>0</v>
          </cell>
          <cell r="J12">
            <v>0</v>
          </cell>
          <cell r="K12">
            <v>0</v>
          </cell>
          <cell r="L12">
            <v>0</v>
          </cell>
          <cell r="M12" t="str">
            <v>x</v>
          </cell>
          <cell r="N12">
            <v>0</v>
          </cell>
        </row>
      </sheetData>
      <sheetData sheetId="8">
        <row r="11">
          <cell r="F11">
            <v>85</v>
          </cell>
        </row>
      </sheetData>
      <sheetData sheetId="9">
        <row r="11">
          <cell r="F11">
            <v>65</v>
          </cell>
        </row>
      </sheetData>
      <sheetData sheetId="10">
        <row r="11">
          <cell r="F11">
            <v>65</v>
          </cell>
        </row>
      </sheetData>
      <sheetData sheetId="11">
        <row r="11">
          <cell r="F11">
            <v>85</v>
          </cell>
        </row>
      </sheetData>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Gest Finan-Presupue"/>
    </sheetNames>
    <sheetDataSet>
      <sheetData sheetId="0"/>
      <sheetData sheetId="1">
        <row r="2">
          <cell r="B2" t="str">
            <v>Gestión Financiera - Presupuesto</v>
          </cell>
        </row>
        <row r="3">
          <cell r="B3" t="str">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ell>
        </row>
        <row r="6">
          <cell r="A6" t="str">
            <v>1. Desconocimiento de principios básicos en la ejecución del presupuesto. 
2. Falta de valores éticos y morales en los servidores públicos que toman decisiones frente al manejo presupuestal.
3. Informacion inconsistente al solicitar los Certificados de Disponibilidad.</v>
          </cell>
          <cell r="B6" t="str">
            <v>Beneficio a terceros en la expedicion de Certificados Presupuestales y Registros Presupuestales.</v>
          </cell>
          <cell r="D6" t="str">
            <v>1. Inconsistencias en la informacion suministrada por el Grupo de presupuesto a los diferentes entes de control.
2. Sanciones disciplinarias por parte de los entes de control.
3. Detrimento patrimonial.</v>
          </cell>
        </row>
        <row r="7">
          <cell r="A7">
            <v>0</v>
          </cell>
          <cell r="B7">
            <v>0</v>
          </cell>
          <cell r="D7">
            <v>0</v>
          </cell>
        </row>
      </sheetData>
      <sheetData sheetId="2"/>
      <sheetData sheetId="3"/>
      <sheetData sheetId="4">
        <row r="9">
          <cell r="B9">
            <v>0</v>
          </cell>
          <cell r="C9">
            <v>0</v>
          </cell>
          <cell r="D9">
            <v>0</v>
          </cell>
          <cell r="E9">
            <v>0</v>
          </cell>
          <cell r="F9" t="str">
            <v>X</v>
          </cell>
          <cell r="G9">
            <v>0</v>
          </cell>
          <cell r="H9">
            <v>0</v>
          </cell>
          <cell r="I9">
            <v>0</v>
          </cell>
          <cell r="J9">
            <v>0</v>
          </cell>
          <cell r="K9">
            <v>0</v>
          </cell>
          <cell r="L9" t="str">
            <v>X</v>
          </cell>
          <cell r="M9">
            <v>0</v>
          </cell>
          <cell r="N9">
            <v>0</v>
          </cell>
        </row>
        <row r="10">
          <cell r="B10">
            <v>0</v>
          </cell>
          <cell r="C10">
            <v>0</v>
          </cell>
          <cell r="D10">
            <v>0</v>
          </cell>
          <cell r="E10">
            <v>0</v>
          </cell>
          <cell r="F10">
            <v>0</v>
          </cell>
          <cell r="G10">
            <v>0</v>
          </cell>
          <cell r="H10">
            <v>0</v>
          </cell>
          <cell r="I10">
            <v>0</v>
          </cell>
          <cell r="J10">
            <v>0</v>
          </cell>
          <cell r="K10">
            <v>0</v>
          </cell>
          <cell r="L10">
            <v>0</v>
          </cell>
          <cell r="M10">
            <v>0</v>
          </cell>
          <cell r="N10">
            <v>0</v>
          </cell>
        </row>
      </sheetData>
      <sheetData sheetId="5">
        <row r="11">
          <cell r="F11">
            <v>100</v>
          </cell>
        </row>
      </sheetData>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1)"/>
      <sheetName val="AnálisisRiesgo"/>
      <sheetName val="EvaluaciónRiesgoCorrup (1)"/>
      <sheetName val="EvaluaciónRiesgoGestión"/>
      <sheetName val="MapaRiesgos,"/>
      <sheetName val="Anterior"/>
      <sheetName val="MapaRiesgos Gest Finan-Tesorerí"/>
    </sheetNames>
    <sheetDataSet>
      <sheetData sheetId="0"/>
      <sheetData sheetId="1">
        <row r="2">
          <cell r="B2" t="str">
            <v>GESTION FINANCIERA - TESORERÍA</v>
          </cell>
        </row>
        <row r="3">
          <cell r="B3" t="str">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ell>
        </row>
        <row r="6">
          <cell r="A6" t="str">
            <v>Omisión, intereses mutuo o recibimiento de dádivas.</v>
          </cell>
          <cell r="B6" t="str">
            <v xml:space="preserve">Desviación de recursos girados en beneficio a terceros. </v>
          </cell>
          <cell r="D6" t="str">
            <v>Procesos disciplinarias, penales o fiscales.
Detrimento patrimonial.</v>
          </cell>
        </row>
        <row r="7">
          <cell r="A7">
            <v>0</v>
          </cell>
          <cell r="B7">
            <v>0</v>
          </cell>
          <cell r="D7">
            <v>0</v>
          </cell>
        </row>
        <row r="8">
          <cell r="A8">
            <v>0</v>
          </cell>
          <cell r="B8">
            <v>0</v>
          </cell>
          <cell r="D8">
            <v>0</v>
          </cell>
        </row>
      </sheetData>
      <sheetData sheetId="2"/>
      <sheetData sheetId="3"/>
      <sheetData sheetId="4">
        <row r="9">
          <cell r="B9">
            <v>0</v>
          </cell>
          <cell r="C9">
            <v>0</v>
          </cell>
          <cell r="D9">
            <v>0</v>
          </cell>
          <cell r="E9">
            <v>0</v>
          </cell>
          <cell r="F9" t="str">
            <v>X</v>
          </cell>
          <cell r="G9">
            <v>0</v>
          </cell>
          <cell r="H9">
            <v>0</v>
          </cell>
          <cell r="I9">
            <v>0</v>
          </cell>
          <cell r="J9">
            <v>0</v>
          </cell>
          <cell r="K9">
            <v>0</v>
          </cell>
          <cell r="L9" t="str">
            <v>X</v>
          </cell>
          <cell r="M9">
            <v>0</v>
          </cell>
          <cell r="N9">
            <v>0</v>
          </cell>
        </row>
        <row r="10">
          <cell r="B10">
            <v>0</v>
          </cell>
          <cell r="C10">
            <v>0</v>
          </cell>
          <cell r="D10">
            <v>0</v>
          </cell>
          <cell r="E10">
            <v>0</v>
          </cell>
          <cell r="F10">
            <v>0</v>
          </cell>
          <cell r="G10">
            <v>0</v>
          </cell>
          <cell r="H10">
            <v>0</v>
          </cell>
          <cell r="I10">
            <v>0</v>
          </cell>
          <cell r="J10">
            <v>0</v>
          </cell>
          <cell r="K10">
            <v>0</v>
          </cell>
          <cell r="L10">
            <v>0</v>
          </cell>
          <cell r="M10">
            <v>0</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
        <row r="11">
          <cell r="F11">
            <v>100</v>
          </cell>
        </row>
      </sheetData>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R1"/>
      <sheetName val="AnálisisRiesgo"/>
      <sheetName val="EvaluaciónRiesgoCorrup R1"/>
      <sheetName val="EvaluaciónRiesgoGestión"/>
      <sheetName val="MapaRiesgos,"/>
      <sheetName val="Anterior"/>
      <sheetName val="MapaRiesgos Gest Informática"/>
    </sheetNames>
    <sheetDataSet>
      <sheetData sheetId="0" refreshError="1"/>
      <sheetData sheetId="1">
        <row r="2">
          <cell r="B2" t="str">
            <v>GESTION DE RECURSOS INFORMATICOS Y TECNOLOGICOS</v>
          </cell>
        </row>
        <row r="3">
          <cell r="B3" t="str">
            <v>Servir como apoyo a todos los procesos del instituto, en cuanto a la implementación, mantenimiento y soporte técnico de los sistemas de información tanto misionales como de apoyo administrativo, garantizando a los usuarios el acceso a las herramientas informáticas a través de una infraestructura tecnológica debidamente actualizada y soportada, cumpliendo con los requisitos de oportunidad, disponibilidad y seguridad.</v>
          </cell>
        </row>
        <row r="6">
          <cell r="A6" t="str">
            <v>*Deficiente definición de políticas de uso de las TI.
*Deficiencias en el desarrollo o adquisición de TI.
*Falta de una infraestructura tecnológica adecuada</v>
          </cell>
          <cell r="B6" t="str">
            <v xml:space="preserve">Pérdida de integridad y disponibilidad de la informacion </v>
          </cell>
          <cell r="D6" t="str">
            <v>*Falta de credibilidad y confianza de los usuarios y el publico en general. 
*Perdida de imagen y credibilidad del Instituto.</v>
          </cell>
        </row>
      </sheetData>
      <sheetData sheetId="2" refreshError="1"/>
      <sheetData sheetId="3" refreshError="1"/>
      <sheetData sheetId="4">
        <row r="9">
          <cell r="E9" t="str">
            <v>X</v>
          </cell>
          <cell r="L9" t="str">
            <v>X</v>
          </cell>
        </row>
      </sheetData>
      <sheetData sheetId="5">
        <row r="11">
          <cell r="F11">
            <v>85</v>
          </cell>
        </row>
      </sheetData>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1"/>
      <sheetName val="ImpactoRiesgoCorrup 2"/>
      <sheetName val="AnálisisRiesgo"/>
      <sheetName val="EvaluaciónRiesgoCorrup 1"/>
      <sheetName val="EvaluaciónRiesgoCorrup 2"/>
      <sheetName val="EvaluaciónRiesgoGestión"/>
      <sheetName val="MapaRiesgos,"/>
      <sheetName val="Anterior"/>
      <sheetName val="MapaRiesgos Gest Recursos Físic"/>
    </sheetNames>
    <sheetDataSet>
      <sheetData sheetId="0"/>
      <sheetData sheetId="1">
        <row r="2">
          <cell r="B2" t="str">
            <v>Gestión de Recursos Físicos</v>
          </cell>
        </row>
        <row r="3">
          <cell r="B3" t="str">
            <v>Brindar el apoyo logístico mediante el suministro de materiales, equipos, elementos y servicios con el fin de proporcionar un ambiente adecuado de trabajo y satisfacer las necesidades de bienes y servicios requeridos para el excelente funcionamiento del IDEAM</v>
          </cell>
        </row>
        <row r="6">
          <cell r="A6" t="str">
            <v>Presiones indebidas sobre funcionarios del Instituto por parte de firmas interesadas en los futuros procesos de contratación de la Entidad.
asignacion y entrega de dadivas y sobornos</v>
          </cell>
          <cell r="B6" t="str">
            <v>beneficio a terceros para sumnistro de bienes y servicios del IDEAM</v>
          </cell>
          <cell r="D6" t="str">
            <v>mala percepcion del IDEAM ante la opinion publica.
acciones legales disciplinarias, penales y fiscales por parte de los entes de control</v>
          </cell>
        </row>
        <row r="7">
          <cell r="A7" t="str">
            <v>incosistencias en los documentos soportes (facturas y recibos) para legalizar pagos por caja menor</v>
          </cell>
          <cell r="B7" t="str">
            <v>manejo indebido de caja menor del IDEAM</v>
          </cell>
          <cell r="D7" t="str">
            <v>peculado y detrimento patrimonial 
acciones disciplinarias por parte de los entes de control</v>
          </cell>
        </row>
        <row r="8">
          <cell r="A8">
            <v>0</v>
          </cell>
          <cell r="B8">
            <v>0</v>
          </cell>
          <cell r="D8">
            <v>0</v>
          </cell>
        </row>
      </sheetData>
      <sheetData sheetId="2"/>
      <sheetData sheetId="3"/>
      <sheetData sheetId="4"/>
      <sheetData sheetId="5">
        <row r="9">
          <cell r="B9">
            <v>0</v>
          </cell>
          <cell r="C9">
            <v>0</v>
          </cell>
          <cell r="D9">
            <v>0</v>
          </cell>
          <cell r="E9">
            <v>0</v>
          </cell>
          <cell r="F9" t="str">
            <v>x</v>
          </cell>
          <cell r="G9">
            <v>0</v>
          </cell>
          <cell r="H9">
            <v>0</v>
          </cell>
          <cell r="I9">
            <v>0</v>
          </cell>
          <cell r="J9">
            <v>0</v>
          </cell>
          <cell r="K9">
            <v>0</v>
          </cell>
          <cell r="L9">
            <v>0</v>
          </cell>
          <cell r="M9" t="str">
            <v>x</v>
          </cell>
          <cell r="N9">
            <v>0</v>
          </cell>
        </row>
        <row r="10">
          <cell r="B10">
            <v>0</v>
          </cell>
          <cell r="C10">
            <v>0</v>
          </cell>
          <cell r="D10">
            <v>0</v>
          </cell>
          <cell r="E10">
            <v>0</v>
          </cell>
          <cell r="F10" t="str">
            <v>x</v>
          </cell>
          <cell r="G10">
            <v>0</v>
          </cell>
          <cell r="H10">
            <v>0</v>
          </cell>
          <cell r="I10">
            <v>0</v>
          </cell>
          <cell r="J10">
            <v>0</v>
          </cell>
          <cell r="K10">
            <v>0</v>
          </cell>
          <cell r="L10">
            <v>0</v>
          </cell>
          <cell r="M10" t="str">
            <v>x</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6">
        <row r="11">
          <cell r="F11">
            <v>85</v>
          </cell>
        </row>
      </sheetData>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R1"/>
      <sheetName val="ImpactoRiesgoCorrup R2"/>
      <sheetName val="AnálisisRiesgo"/>
      <sheetName val="Evalaucion Riesgo R1"/>
      <sheetName val="Evalaucion Riesgo R2"/>
      <sheetName val="EvaluaciónRiesgoGestión"/>
      <sheetName val="MapaRiesgos,"/>
      <sheetName val="Anterior"/>
      <sheetName val="MapaRiesgos Gest Des Talento H"/>
    </sheetNames>
    <sheetDataSet>
      <sheetData sheetId="0"/>
      <sheetData sheetId="1">
        <row r="2">
          <cell r="B2" t="str">
            <v>Gestion del Desarrollo del Talento Humano</v>
          </cell>
        </row>
        <row r="3">
          <cell r="B3" t="str">
            <v xml:space="preserve">Administrar y promover el desarrollo integral del talento humano de la Entidad, a través de la implementación de políticas, planes, programas y acciones que fortalezcan la calidad de vida laboral de los trabajadores y garanticen una mejor prestación de los servicios que ofrece el IDEAM. </v>
          </cell>
        </row>
        <row r="6">
          <cell r="A6" t="str">
            <v>1.Modificaciòn indebida  del Manual de Funciones y competencias.            2.Fallas en el control de la revisiòn de los requisitos para el empleo.             3.Errores voluntarios en la entrega de informaciòn a la Comisiòn Nacional del Sevicio civil.</v>
          </cell>
          <cell r="B6" t="str">
            <v>Vinculacion  indebida de posesiones o encargos a servidores públicos que no cumplen con los requisitos establecidos en el Manual de Funciones y Compecias y requisitos de Ley.</v>
          </cell>
          <cell r="D6" t="str">
            <v xml:space="preserve">1.Sanciones Disciplinarias.   2.Deficiencias en el desarrollo de los procesos estrategicos, misionales, apoyo y evaluaciòn.  3. Perdida de la imagen institucional.        </v>
          </cell>
        </row>
        <row r="7">
          <cell r="A7" t="str">
            <v>1.Insuficientes controles de revisiòn.       2. Carga laboral acumulada.                     3. Fallas en el  manejo del aplicativo Perno.</v>
          </cell>
          <cell r="B7" t="str">
            <v>Reconocer a funcionarios lo no debido en cuanto a salarios y prestaciones de Ley.</v>
          </cell>
          <cell r="D7" t="str">
            <v>1.Detrimento patrimonial. 2.Perdida de confiabilidad del procedimiento de nòmina. 3.Afecta Clima Laboral.</v>
          </cell>
        </row>
        <row r="8">
          <cell r="A8">
            <v>0</v>
          </cell>
          <cell r="B8">
            <v>0</v>
          </cell>
          <cell r="D8">
            <v>0</v>
          </cell>
        </row>
      </sheetData>
      <sheetData sheetId="2"/>
      <sheetData sheetId="3"/>
      <sheetData sheetId="4"/>
      <sheetData sheetId="5">
        <row r="9">
          <cell r="B9">
            <v>0</v>
          </cell>
          <cell r="C9">
            <v>0</v>
          </cell>
          <cell r="D9">
            <v>0</v>
          </cell>
          <cell r="E9">
            <v>0</v>
          </cell>
          <cell r="F9" t="str">
            <v>X</v>
          </cell>
          <cell r="G9">
            <v>0</v>
          </cell>
          <cell r="H9">
            <v>0</v>
          </cell>
          <cell r="I9">
            <v>0</v>
          </cell>
          <cell r="J9">
            <v>0</v>
          </cell>
          <cell r="K9">
            <v>0</v>
          </cell>
          <cell r="L9" t="str">
            <v>x</v>
          </cell>
          <cell r="M9">
            <v>0</v>
          </cell>
          <cell r="N9">
            <v>0</v>
          </cell>
        </row>
        <row r="10">
          <cell r="B10">
            <v>0</v>
          </cell>
          <cell r="C10" t="str">
            <v>X</v>
          </cell>
          <cell r="D10">
            <v>0</v>
          </cell>
          <cell r="E10">
            <v>0</v>
          </cell>
          <cell r="F10">
            <v>0</v>
          </cell>
          <cell r="G10">
            <v>0</v>
          </cell>
          <cell r="H10">
            <v>0</v>
          </cell>
          <cell r="I10">
            <v>0</v>
          </cell>
          <cell r="J10">
            <v>0</v>
          </cell>
          <cell r="K10">
            <v>0</v>
          </cell>
          <cell r="L10" t="str">
            <v>X</v>
          </cell>
          <cell r="M10">
            <v>0</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6">
        <row r="11">
          <cell r="F11">
            <v>85</v>
          </cell>
        </row>
      </sheetData>
      <sheetData sheetId="7">
        <row r="11">
          <cell r="F11">
            <v>50</v>
          </cell>
        </row>
      </sheetData>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R1"/>
      <sheetName val="ImpactoRiesgoCorrupR2"/>
      <sheetName val="AnálisisRiesgo"/>
      <sheetName val="EvaluaciónRiesgoCorrupR1"/>
      <sheetName val="EvaluaciónRiesgoCorrupR2"/>
      <sheetName val="MapaRiesgos,"/>
      <sheetName val="Anterior"/>
      <sheetName val="EvaluaciónRiesgoGestión"/>
      <sheetName val="MapaRiesgo Gest Cont Discip Int"/>
    </sheetNames>
    <sheetDataSet>
      <sheetData sheetId="0"/>
      <sheetData sheetId="1">
        <row r="2">
          <cell r="B2" t="str">
            <v>Gestión de Control Disciplinario Interno</v>
          </cell>
        </row>
        <row r="3">
          <cell r="B3" t="str">
            <v>Investigar y fallar sobre presuntas conductas de los servidores públicos del Instituto de conformidad con las disposiciones establecidas en el Código Disciplinario Único y normas concordantes</v>
          </cell>
        </row>
        <row r="8">
          <cell r="A8">
            <v>0</v>
          </cell>
          <cell r="B8">
            <v>0</v>
          </cell>
          <cell r="D8">
            <v>0</v>
          </cell>
        </row>
      </sheetData>
      <sheetData sheetId="2"/>
      <sheetData sheetId="3"/>
      <sheetData sheetId="4"/>
      <sheetData sheetId="5">
        <row r="9">
          <cell r="B9">
            <v>0</v>
          </cell>
          <cell r="C9">
            <v>0</v>
          </cell>
          <cell r="D9">
            <v>0</v>
          </cell>
          <cell r="E9">
            <v>0</v>
          </cell>
          <cell r="F9" t="str">
            <v>X</v>
          </cell>
          <cell r="G9">
            <v>0</v>
          </cell>
          <cell r="H9">
            <v>0</v>
          </cell>
          <cell r="I9">
            <v>0</v>
          </cell>
          <cell r="J9">
            <v>0</v>
          </cell>
          <cell r="K9">
            <v>0</v>
          </cell>
          <cell r="L9">
            <v>0</v>
          </cell>
          <cell r="M9" t="str">
            <v>X</v>
          </cell>
          <cell r="N9">
            <v>0</v>
          </cell>
        </row>
        <row r="10">
          <cell r="B10">
            <v>0</v>
          </cell>
          <cell r="C10">
            <v>0</v>
          </cell>
          <cell r="D10">
            <v>0</v>
          </cell>
          <cell r="E10">
            <v>0</v>
          </cell>
          <cell r="F10" t="str">
            <v>X</v>
          </cell>
          <cell r="G10">
            <v>0</v>
          </cell>
          <cell r="H10">
            <v>0</v>
          </cell>
          <cell r="I10">
            <v>0</v>
          </cell>
          <cell r="J10">
            <v>0</v>
          </cell>
          <cell r="K10">
            <v>0</v>
          </cell>
          <cell r="L10">
            <v>0</v>
          </cell>
          <cell r="M10" t="str">
            <v>X</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6">
        <row r="11">
          <cell r="F11">
            <v>85</v>
          </cell>
        </row>
      </sheetData>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ificaciónRiesgos"/>
      <sheetName val="DefiniciónRiesgos"/>
      <sheetName val="ImpactoRiesgoCorrupción"/>
      <sheetName val="AnálisisRiesgos"/>
      <sheetName val="EvaluaciónRiesgos"/>
      <sheetName val="MapaRiesgos,"/>
      <sheetName val="Anterior"/>
      <sheetName val="MapaRiesgos"/>
    </sheetNames>
    <sheetDataSet>
      <sheetData sheetId="0"/>
      <sheetData sheetId="1">
        <row r="7">
          <cell r="A7" t="str">
            <v xml:space="preserve">Falta de ética y profesionalismo del funcionario instructor. </v>
          </cell>
          <cell r="B7" t="str">
            <v xml:space="preserve">Proyectar fallo contrario a las evidencias  que constituyen el acervo probatorio recaudado para favorecer al indagado o al investigado. </v>
          </cell>
          <cell r="D7" t="str">
            <v xml:space="preserve"> Causal de Nulidad (Artículo 143 No. 3 del CDU). Pérdida de credibilidad del grupo y actuación disciplinaria por parte de la PGN. </v>
          </cell>
        </row>
      </sheetData>
      <sheetData sheetId="2"/>
      <sheetData sheetId="3"/>
      <sheetData sheetId="4"/>
      <sheetData sheetId="5"/>
      <sheetData sheetId="6"/>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R1"/>
      <sheetName val="ImpactoRiesgoCorrupR2"/>
      <sheetName val="ImpactoRiesgoCorrupR3"/>
      <sheetName val="ImpactoRiesgoCorrupR4"/>
      <sheetName val="AnálisisRiesgo"/>
      <sheetName val="EvaluaciónRiesgoCorrupR1"/>
      <sheetName val="EvaluaciónRiesgoCorrupR2"/>
      <sheetName val="MapaRiesgos,"/>
      <sheetName val="Anterior"/>
      <sheetName val="EvaluaciónRiesgoCorrupR3"/>
      <sheetName val="EvaluaciónRiesgoCorrupR4"/>
      <sheetName val="EvaluaciónRiesgoGestión"/>
      <sheetName val="MapaRiesgos Gest Mejoram Contin"/>
    </sheetNames>
    <sheetDataSet>
      <sheetData sheetId="0"/>
      <sheetData sheetId="1">
        <row r="2">
          <cell r="B2" t="str">
            <v>Gestión del Mejoramiento Continuo</v>
          </cell>
        </row>
        <row r="3">
          <cell r="B3" t="str">
            <v xml:space="preserve">Evaluar de forma autónoma, objetiva e independiente el funcionamiento del Sistema Integrado de Gestión del IDEAM para el cumplimiento de  los objetivos y metas, a través de la realización de auditorías, seguimientos y verificaciones a las diferentes áreas, procesos, planes y/o proyectos, formulando recomendaciones para contribuir al mejoramiento continuo y al fortalecimiento institucional </v>
          </cell>
        </row>
      </sheetData>
      <sheetData sheetId="2"/>
      <sheetData sheetId="3"/>
      <sheetData sheetId="4"/>
      <sheetData sheetId="5"/>
      <sheetData sheetId="6"/>
      <sheetData sheetId="7">
        <row r="9">
          <cell r="D9" t="str">
            <v>X</v>
          </cell>
        </row>
      </sheetData>
      <sheetData sheetId="8">
        <row r="11">
          <cell r="F11">
            <v>55</v>
          </cell>
        </row>
      </sheetData>
      <sheetData sheetId="9">
        <row r="11">
          <cell r="F11">
            <v>85</v>
          </cell>
        </row>
      </sheetData>
      <sheetData sheetId="10"/>
      <sheetData sheetId="11"/>
      <sheetData sheetId="12">
        <row r="11">
          <cell r="F11">
            <v>15</v>
          </cell>
        </row>
      </sheetData>
      <sheetData sheetId="13">
        <row r="11">
          <cell r="F11">
            <v>25</v>
          </cell>
        </row>
      </sheetData>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R1"/>
      <sheetName val="ImpactoRiesgoCorrupR2"/>
      <sheetName val="ImpactoRiesgoCorrupR3"/>
      <sheetName val="ImpactoRiesgoCorrupR4"/>
      <sheetName val="AnálisisRiesgo"/>
      <sheetName val="EvaluaciónRiesgoCorrupR1"/>
      <sheetName val="EvaluaciónRiesgoCorrupR2"/>
      <sheetName val="MapaRiesgos,"/>
      <sheetName val="Anterior"/>
      <sheetName val="EvaluaciónRiesgoCorrupR3"/>
      <sheetName val="EvaluaciónRiesgoCorrupR4"/>
      <sheetName val="EvaluaciónRiesgoGestión"/>
      <sheetName val="MapaRiesgos Gest Mejoram Contin"/>
    </sheetNames>
    <sheetDataSet>
      <sheetData sheetId="0"/>
      <sheetData sheetId="1">
        <row r="2">
          <cell r="B2" t="str">
            <v>Gestión del Mejoramiento Continuo</v>
          </cell>
        </row>
        <row r="6">
          <cell r="A6" t="str">
            <v>Desconocimiento de las funciones y objetivos de la Oficina de Control Interno por parte de las demás dependencias.</v>
          </cell>
          <cell r="B6" t="str">
            <v>Falta de receptividad de las dependencias del Instituto frente a los informes y seguimientos con recomendaciones realizadas por la Oficina de Control Interno para la mejora continua.</v>
          </cell>
          <cell r="D6" t="str">
            <v>El mejoramiento continuo en los procesos, se ve afectado contribuyendo a un nivel de suceptibilidad mayor de la corrupción.</v>
          </cell>
        </row>
        <row r="7">
          <cell r="A7" t="str">
            <v>Inobservancia frente a los fundamentos éticos de un profesional/auditor.
Ausencia de controles efectivos. 
Desconocimiento de las normas vigentes sobre la materia a evaluar. 
Presiones indebidas/tráfico de influencias y favorabilidad.</v>
          </cell>
          <cell r="B7" t="str">
            <v>Generación de informes sin la debida idoneidad por parte de los auditores de la Oficina de Control Interno.</v>
          </cell>
          <cell r="D7" t="str">
            <v xml:space="preserve">Falta de credibilidad en la gestión de la Oficina de Control Interno, facilitando la ocurrencia de actos de corrupción. </v>
          </cell>
        </row>
      </sheetData>
      <sheetData sheetId="2"/>
      <sheetData sheetId="3"/>
      <sheetData sheetId="4"/>
      <sheetData sheetId="5"/>
      <sheetData sheetId="6"/>
      <sheetData sheetId="7">
        <row r="9">
          <cell r="D9" t="str">
            <v>X</v>
          </cell>
        </row>
        <row r="10">
          <cell r="E10" t="str">
            <v>X</v>
          </cell>
        </row>
      </sheetData>
      <sheetData sheetId="8">
        <row r="11">
          <cell r="F11">
            <v>55</v>
          </cell>
        </row>
      </sheetData>
      <sheetData sheetId="9">
        <row r="11">
          <cell r="F11">
            <v>85</v>
          </cell>
        </row>
      </sheetData>
      <sheetData sheetId="10"/>
      <sheetData sheetId="11"/>
      <sheetData sheetId="12">
        <row r="11">
          <cell r="F11">
            <v>15</v>
          </cell>
        </row>
      </sheetData>
      <sheetData sheetId="13">
        <row r="11">
          <cell r="F11">
            <v>25</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Gest Planeación"/>
    </sheetNames>
    <sheetDataSet>
      <sheetData sheetId="0"/>
      <sheetData sheetId="1">
        <row r="2">
          <cell r="B2" t="str">
            <v>Gestión de la Planeación</v>
          </cell>
        </row>
        <row r="3">
          <cell r="B3" t="str">
            <v xml:space="preserve">Coordinar la formulación y hacer el seguimiento de los instrumentos de planeación necesarios para contribuir al cumplimiento de la misión institucional en el marco de las políticas vigentes. </v>
          </cell>
        </row>
        <row r="6">
          <cell r="A6" t="str">
            <v>Intereses mutuos o recibimiento de dádivas.</v>
          </cell>
          <cell r="B6" t="str">
            <v>Aprobar CDP que no esten en el POA (Plan Operativo Anual)</v>
          </cell>
          <cell r="D6" t="str">
            <v>1. Hallazgos en auditorias de los entes de Control. 
2. Perdida de credibilidad en la gestión de la Entidad. 
3. Detrimento patrimonial.</v>
          </cell>
        </row>
        <row r="7">
          <cell r="A7">
            <v>0</v>
          </cell>
          <cell r="B7">
            <v>0</v>
          </cell>
          <cell r="D7">
            <v>0</v>
          </cell>
        </row>
        <row r="8">
          <cell r="A8">
            <v>0</v>
          </cell>
          <cell r="B8">
            <v>0</v>
          </cell>
          <cell r="D8">
            <v>0</v>
          </cell>
        </row>
      </sheetData>
      <sheetData sheetId="2"/>
      <sheetData sheetId="3"/>
      <sheetData sheetId="4">
        <row r="9">
          <cell r="B9">
            <v>0</v>
          </cell>
          <cell r="C9">
            <v>0</v>
          </cell>
          <cell r="D9">
            <v>0</v>
          </cell>
          <cell r="E9">
            <v>0</v>
          </cell>
          <cell r="F9" t="str">
            <v>X</v>
          </cell>
          <cell r="G9">
            <v>0</v>
          </cell>
          <cell r="H9">
            <v>0</v>
          </cell>
          <cell r="I9">
            <v>0</v>
          </cell>
          <cell r="J9">
            <v>0</v>
          </cell>
          <cell r="K9">
            <v>0</v>
          </cell>
          <cell r="L9">
            <v>0</v>
          </cell>
          <cell r="M9" t="str">
            <v>X</v>
          </cell>
          <cell r="N9">
            <v>0</v>
          </cell>
        </row>
        <row r="10">
          <cell r="B10">
            <v>0</v>
          </cell>
          <cell r="C10">
            <v>0</v>
          </cell>
          <cell r="D10">
            <v>0</v>
          </cell>
          <cell r="E10">
            <v>0</v>
          </cell>
          <cell r="F10">
            <v>0</v>
          </cell>
          <cell r="G10">
            <v>0</v>
          </cell>
          <cell r="H10">
            <v>0</v>
          </cell>
          <cell r="I10">
            <v>0</v>
          </cell>
          <cell r="J10">
            <v>0</v>
          </cell>
          <cell r="K10">
            <v>0</v>
          </cell>
          <cell r="L10">
            <v>0</v>
          </cell>
          <cell r="M10">
            <v>0</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
        <row r="11">
          <cell r="F11">
            <v>85</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Gener datos e inf "/>
    </sheetNames>
    <sheetDataSet>
      <sheetData sheetId="0"/>
      <sheetData sheetId="1">
        <row r="2">
          <cell r="B2" t="str">
            <v>Generación de Datos e Información Hidrometeorológica y Ambiental para la toma de decisiones</v>
          </cell>
        </row>
        <row r="3">
          <cell r="B3" t="str">
            <v>Generar datos e información hidrometeorologica y ambiental que apoyen la investigación y el conocimiento como soporte para la toma de decisiones</v>
          </cell>
        </row>
        <row r="6">
          <cell r="A6" t="str">
            <v>Tiempo de resago de información en los procesos de verificación y validación.
Deficiencia en los procesos y procedimientos para la gestión de datos e información.</v>
          </cell>
          <cell r="B6" t="str">
            <v>Suministro información hidrometeorológica y ambiental para beneficio particular.</v>
          </cell>
          <cell r="D6" t="str">
            <v xml:space="preserve">Divulgación de información sin verificación y validación.
Procesos disciplinarios.
Acciones legales contra el Instituto .  
Perdida de credibilidad del Instituto. </v>
          </cell>
        </row>
        <row r="7">
          <cell r="A7">
            <v>0</v>
          </cell>
          <cell r="B7">
            <v>0</v>
          </cell>
          <cell r="D7">
            <v>0</v>
          </cell>
        </row>
        <row r="8">
          <cell r="A8">
            <v>0</v>
          </cell>
          <cell r="B8">
            <v>0</v>
          </cell>
          <cell r="D8">
            <v>0</v>
          </cell>
        </row>
      </sheetData>
      <sheetData sheetId="2"/>
      <sheetData sheetId="3"/>
      <sheetData sheetId="4">
        <row r="9">
          <cell r="B9">
            <v>0</v>
          </cell>
          <cell r="C9">
            <v>0</v>
          </cell>
          <cell r="D9">
            <v>0</v>
          </cell>
          <cell r="E9" t="str">
            <v>X</v>
          </cell>
          <cell r="F9">
            <v>0</v>
          </cell>
          <cell r="G9">
            <v>0</v>
          </cell>
          <cell r="H9">
            <v>0</v>
          </cell>
          <cell r="I9">
            <v>0</v>
          </cell>
          <cell r="J9">
            <v>0</v>
          </cell>
          <cell r="K9">
            <v>0</v>
          </cell>
          <cell r="L9">
            <v>0</v>
          </cell>
          <cell r="M9">
            <v>0</v>
          </cell>
          <cell r="N9" t="str">
            <v>X</v>
          </cell>
        </row>
        <row r="10">
          <cell r="B10">
            <v>0</v>
          </cell>
          <cell r="C10">
            <v>0</v>
          </cell>
          <cell r="D10">
            <v>0</v>
          </cell>
          <cell r="E10">
            <v>0</v>
          </cell>
          <cell r="F10">
            <v>0</v>
          </cell>
          <cell r="G10">
            <v>0</v>
          </cell>
          <cell r="H10">
            <v>0</v>
          </cell>
          <cell r="I10">
            <v>0</v>
          </cell>
          <cell r="J10">
            <v>0</v>
          </cell>
          <cell r="K10">
            <v>0</v>
          </cell>
          <cell r="L10">
            <v>0</v>
          </cell>
          <cell r="M10">
            <v>0</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
        <row r="11">
          <cell r="F11">
            <v>85</v>
          </cell>
        </row>
      </sheetData>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Gen Conoci e Inv "/>
    </sheetNames>
    <sheetDataSet>
      <sheetData sheetId="0"/>
      <sheetData sheetId="1">
        <row r="2">
          <cell r="B2" t="str">
            <v>Generación de conocimiento e investigación</v>
          </cell>
        </row>
        <row r="3">
          <cell r="B3" t="str">
            <v xml:space="preserve">Generar conocimiento e investigación sobre la dinámica de los recursos naturales y su interacción con la sociedad, para la toma de decisiones. </v>
          </cell>
        </row>
        <row r="6">
          <cell r="A6" t="str">
            <v>Lentitud de los procesos de formalización de la información.</v>
          </cell>
          <cell r="B6" t="str">
            <v xml:space="preserve">Divulgar información no formalizada </v>
          </cell>
          <cell r="D6" t="str">
            <v xml:space="preserve">Procesos disciplinarios.
Acciones legales contra el Instituto .  
Perdida de credibilidad del Instituto. </v>
          </cell>
        </row>
        <row r="7">
          <cell r="A7">
            <v>0</v>
          </cell>
          <cell r="B7">
            <v>0</v>
          </cell>
          <cell r="D7">
            <v>0</v>
          </cell>
        </row>
        <row r="8">
          <cell r="A8">
            <v>0</v>
          </cell>
          <cell r="B8">
            <v>0</v>
          </cell>
          <cell r="D8">
            <v>0</v>
          </cell>
        </row>
      </sheetData>
      <sheetData sheetId="2"/>
      <sheetData sheetId="3"/>
      <sheetData sheetId="4">
        <row r="9">
          <cell r="B9">
            <v>0</v>
          </cell>
          <cell r="C9">
            <v>0</v>
          </cell>
          <cell r="D9" t="str">
            <v>X</v>
          </cell>
          <cell r="E9">
            <v>0</v>
          </cell>
          <cell r="F9">
            <v>0</v>
          </cell>
          <cell r="G9">
            <v>0</v>
          </cell>
          <cell r="H9">
            <v>0</v>
          </cell>
          <cell r="I9">
            <v>0</v>
          </cell>
          <cell r="J9">
            <v>0</v>
          </cell>
          <cell r="K9">
            <v>0</v>
          </cell>
          <cell r="L9">
            <v>0</v>
          </cell>
          <cell r="M9">
            <v>0</v>
          </cell>
          <cell r="N9" t="str">
            <v>X</v>
          </cell>
        </row>
        <row r="10">
          <cell r="B10">
            <v>0</v>
          </cell>
          <cell r="C10">
            <v>0</v>
          </cell>
          <cell r="D10">
            <v>0</v>
          </cell>
          <cell r="E10">
            <v>0</v>
          </cell>
          <cell r="F10">
            <v>0</v>
          </cell>
          <cell r="G10">
            <v>0</v>
          </cell>
          <cell r="H10">
            <v>0</v>
          </cell>
          <cell r="I10">
            <v>0</v>
          </cell>
          <cell r="J10">
            <v>0</v>
          </cell>
          <cell r="K10">
            <v>0</v>
          </cell>
          <cell r="L10">
            <v>0</v>
          </cell>
          <cell r="M10">
            <v>0</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
        <row r="11">
          <cell r="F11">
            <v>85</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Servicios"/>
    </sheetNames>
    <sheetDataSet>
      <sheetData sheetId="0"/>
      <sheetData sheetId="1">
        <row r="2">
          <cell r="B2" t="str">
            <v>Servicios (Laboratorio, Acreditación de laboratorios, Aeronáutica, Pronosticos, Redes).</v>
          </cell>
        </row>
        <row r="3">
          <cell r="B3" t="str">
            <v>Satisfacer las necesidades y expectativas de los usuarios y dar respuesta pertinente, confiable y oportuna de los servicios relacionados con las actividades misionales del Instituto.</v>
          </cell>
        </row>
        <row r="6">
          <cell r="A6" t="str">
            <v xml:space="preserve">* Incumplimiento de procedimientos y resoluciones internas del proceso de acreditación (176 de 2003, 0166 de 2006, 1754 de 2009 y 268 de 2015), que generen demora y posible vencimiento en las acreditaciones de los laboratorios.
* Incumplimiento de procedimientos y resoluciones internas del proceso de autorización (2509 del 2010), que genere 
* Falta de estimulos profesionales y meritorios al interior del grupo de trabajo.
* Problemas económicos financieros.
* Deseo de éxito sobrepasando los límites profesionales y éticos. </v>
          </cell>
          <cell r="B6" t="str">
            <v>Decisiones ajustadas a intereses particulares</v>
          </cell>
          <cell r="D6" t="str">
            <v xml:space="preserve">*Inequidad en el proceso de acreditación y autorización de los laboratorios u organizaciones.
* Demanda por favoreciemiento particular a un laboratorio u organizaciones.
*Mala imagen Institucional.
*Pérdida de credibilidad del proceso de acredirtación y autorización. </v>
          </cell>
        </row>
        <row r="7">
          <cell r="A7">
            <v>0</v>
          </cell>
          <cell r="B7">
            <v>0</v>
          </cell>
          <cell r="D7">
            <v>0</v>
          </cell>
        </row>
        <row r="8">
          <cell r="A8">
            <v>0</v>
          </cell>
          <cell r="B8">
            <v>0</v>
          </cell>
          <cell r="D8">
            <v>0</v>
          </cell>
        </row>
      </sheetData>
      <sheetData sheetId="2"/>
      <sheetData sheetId="3"/>
      <sheetData sheetId="4">
        <row r="9">
          <cell r="B9">
            <v>0</v>
          </cell>
          <cell r="C9">
            <v>0</v>
          </cell>
          <cell r="D9">
            <v>0</v>
          </cell>
          <cell r="E9">
            <v>0</v>
          </cell>
          <cell r="F9" t="str">
            <v>X</v>
          </cell>
          <cell r="G9">
            <v>0</v>
          </cell>
          <cell r="H9">
            <v>0</v>
          </cell>
          <cell r="I9">
            <v>0</v>
          </cell>
          <cell r="J9">
            <v>0</v>
          </cell>
          <cell r="K9">
            <v>0</v>
          </cell>
          <cell r="L9" t="str">
            <v>X</v>
          </cell>
          <cell r="M9">
            <v>0</v>
          </cell>
          <cell r="N9">
            <v>0</v>
          </cell>
        </row>
        <row r="10">
          <cell r="B10">
            <v>0</v>
          </cell>
          <cell r="C10">
            <v>0</v>
          </cell>
          <cell r="D10">
            <v>0</v>
          </cell>
          <cell r="E10">
            <v>0</v>
          </cell>
          <cell r="F10">
            <v>0</v>
          </cell>
          <cell r="G10">
            <v>0</v>
          </cell>
          <cell r="H10">
            <v>0</v>
          </cell>
          <cell r="I10">
            <v>0</v>
          </cell>
          <cell r="J10">
            <v>0</v>
          </cell>
          <cell r="K10">
            <v>0</v>
          </cell>
          <cell r="L10">
            <v>0</v>
          </cell>
          <cell r="M10">
            <v>0</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
        <row r="11">
          <cell r="F11">
            <v>85</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1"/>
      <sheetName val="AnálisisRiesgo"/>
      <sheetName val="EvaluaciónRiesgoCorrup 1"/>
      <sheetName val="EvaluaciónRiesgoGestión"/>
      <sheetName val="MapaRiesgos,"/>
      <sheetName val="Anterior"/>
      <sheetName val="MapaRiesgos Atención ciudadano"/>
    </sheetNames>
    <sheetDataSet>
      <sheetData sheetId="0"/>
      <sheetData sheetId="1">
        <row r="2">
          <cell r="B2" t="str">
            <v>ATENCION AL CIUDADANO</v>
          </cell>
        </row>
        <row r="3">
          <cell r="B3" t="str">
            <v>Brindar a los usuarios internos y externos del Instituto, una atención y orientación oportuna, eficaz y eficiente, con calidad, garantizando un trato amable y el acceso efectivo a la información que genera el IDEAM.</v>
          </cell>
        </row>
        <row r="6">
          <cell r="A6" t="str">
            <v>1.- Funcionarios predispuestos a la materialización de conductas de corrupción. 
2.- La no aplicación de los Procesos y Procedimientos de Atención al Ciudadano.</v>
          </cell>
          <cell r="B6" t="str">
            <v>Solicitar o aceptar pagos o cualquier otra clase de beneficio.</v>
          </cell>
          <cell r="D6" t="str">
            <v>Tutelas, Demandas Adminitrativas, Responsabilidad Penal y Disciplinaria y pérdida de la credibilidad.</v>
          </cell>
        </row>
        <row r="7">
          <cell r="A7">
            <v>0</v>
          </cell>
          <cell r="B7">
            <v>0</v>
          </cell>
          <cell r="D7">
            <v>0</v>
          </cell>
        </row>
        <row r="8">
          <cell r="A8">
            <v>0</v>
          </cell>
          <cell r="B8">
            <v>0</v>
          </cell>
          <cell r="D8">
            <v>0</v>
          </cell>
        </row>
      </sheetData>
      <sheetData sheetId="2"/>
      <sheetData sheetId="3"/>
      <sheetData sheetId="4">
        <row r="9">
          <cell r="B9">
            <v>0</v>
          </cell>
          <cell r="C9">
            <v>0</v>
          </cell>
          <cell r="D9">
            <v>0</v>
          </cell>
          <cell r="E9">
            <v>0</v>
          </cell>
          <cell r="F9" t="str">
            <v>X</v>
          </cell>
          <cell r="G9">
            <v>0</v>
          </cell>
          <cell r="H9">
            <v>0</v>
          </cell>
          <cell r="I9">
            <v>0</v>
          </cell>
          <cell r="J9">
            <v>0</v>
          </cell>
          <cell r="K9">
            <v>0</v>
          </cell>
          <cell r="L9" t="str">
            <v>X</v>
          </cell>
          <cell r="M9">
            <v>0</v>
          </cell>
          <cell r="N9">
            <v>0</v>
          </cell>
        </row>
        <row r="10">
          <cell r="B10">
            <v>0</v>
          </cell>
          <cell r="C10">
            <v>0</v>
          </cell>
          <cell r="D10">
            <v>0</v>
          </cell>
          <cell r="E10">
            <v>0</v>
          </cell>
          <cell r="F10">
            <v>0</v>
          </cell>
          <cell r="G10">
            <v>0</v>
          </cell>
          <cell r="H10">
            <v>0</v>
          </cell>
          <cell r="I10">
            <v>0</v>
          </cell>
          <cell r="J10">
            <v>0</v>
          </cell>
          <cell r="K10">
            <v>0</v>
          </cell>
          <cell r="L10">
            <v>0</v>
          </cell>
          <cell r="M10">
            <v>0</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
        <row r="11">
          <cell r="F11">
            <v>100</v>
          </cell>
        </row>
      </sheetData>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1"/>
      <sheetName val="AnálisisRiesgo"/>
      <sheetName val="EvaluaciónRiesgoCorrup1"/>
      <sheetName val="EvaluaciónRiesgoGestión"/>
      <sheetName val="MapaRiesgos,"/>
      <sheetName val="Anterior"/>
      <sheetName val="MapaRiesgos Gest Documental"/>
    </sheetNames>
    <sheetDataSet>
      <sheetData sheetId="0"/>
      <sheetData sheetId="1">
        <row r="2">
          <cell r="B2" t="str">
            <v>Gestión Documental</v>
          </cell>
        </row>
        <row r="3">
          <cell r="B3" t="str">
            <v xml:space="preserve">Administrar la producción, trámite, almacenamiento digital, recuperación, consulta y custodia de la correspondencia Institucional. Difundir y disponer para consulta la información ambiental y administrativa del Instituto y del Sistema de Información Nacional Ambiental – SINA-. </v>
          </cell>
        </row>
        <row r="6">
          <cell r="A6" t="str">
            <v>Desconocimiento o mala aplicación de la normatividad vigente.
Desconocimiento de los procesos, procedimientos y otros documentos del Sistema de Gestión Integrado.</v>
          </cell>
          <cell r="B6" t="str">
            <v>Inadecuado uso y manejo de los documentos públicos.</v>
          </cell>
          <cell r="D6" t="str">
            <v>Sanciones disciplinarias.
Reprocesos y perdida de tiempo.
Mala imagen del Instituto.
Pérdida de la memoria Institucional.</v>
          </cell>
        </row>
        <row r="7">
          <cell r="A7">
            <v>0</v>
          </cell>
          <cell r="B7">
            <v>0</v>
          </cell>
          <cell r="D7">
            <v>0</v>
          </cell>
        </row>
      </sheetData>
      <sheetData sheetId="2"/>
      <sheetData sheetId="3"/>
      <sheetData sheetId="4">
        <row r="9">
          <cell r="B9">
            <v>0</v>
          </cell>
          <cell r="C9">
            <v>0</v>
          </cell>
          <cell r="D9">
            <v>0</v>
          </cell>
          <cell r="E9">
            <v>0</v>
          </cell>
          <cell r="F9" t="str">
            <v>X</v>
          </cell>
          <cell r="G9">
            <v>0</v>
          </cell>
          <cell r="H9">
            <v>0</v>
          </cell>
          <cell r="I9">
            <v>0</v>
          </cell>
          <cell r="J9">
            <v>0</v>
          </cell>
          <cell r="K9">
            <v>0</v>
          </cell>
          <cell r="L9">
            <v>0</v>
          </cell>
          <cell r="M9" t="str">
            <v>X</v>
          </cell>
          <cell r="N9">
            <v>0</v>
          </cell>
        </row>
        <row r="10">
          <cell r="B10">
            <v>0</v>
          </cell>
          <cell r="C10">
            <v>0</v>
          </cell>
          <cell r="D10">
            <v>0</v>
          </cell>
          <cell r="E10">
            <v>0</v>
          </cell>
          <cell r="F10">
            <v>0</v>
          </cell>
          <cell r="G10">
            <v>0</v>
          </cell>
          <cell r="H10">
            <v>0</v>
          </cell>
          <cell r="I10">
            <v>0</v>
          </cell>
          <cell r="J10">
            <v>0</v>
          </cell>
          <cell r="K10">
            <v>0</v>
          </cell>
          <cell r="L10">
            <v>0</v>
          </cell>
          <cell r="M10">
            <v>0</v>
          </cell>
          <cell r="N10">
            <v>0</v>
          </cell>
        </row>
      </sheetData>
      <sheetData sheetId="5">
        <row r="11">
          <cell r="F11">
            <v>85</v>
          </cell>
        </row>
      </sheetData>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R1"/>
      <sheetName val="AnálisisRiesgo"/>
      <sheetName val="EvaluaciónRiesgoCorrupR1"/>
      <sheetName val="EvaluaciónRiesgoGestión"/>
      <sheetName val="MapaRiesgos,"/>
      <sheetName val="Anterior"/>
      <sheetName val="MapaRiesgos Gest Juríd Contract"/>
    </sheetNames>
    <sheetDataSet>
      <sheetData sheetId="0"/>
      <sheetData sheetId="1">
        <row r="2">
          <cell r="B2" t="str">
            <v xml:space="preserve">Gestión Jurídica y Contractual </v>
          </cell>
        </row>
        <row r="3">
          <cell r="B3" t="str">
            <v>Asesorar a las diferentes dependencias del Instituto en temas de carácter contractual en sus diferentes etapas (precontractual, contractual y postcontractual), verificando que las mismas se ajustan a la normatividad vigente.</v>
          </cell>
        </row>
        <row r="6">
          <cell r="A6" t="str">
            <v>Desconocer las características
intrínsecas del bien y/o servicio
que se desea contratar además
de la falta de control asociado
al proceso de contratación.
Falta de control sobre la calidad de los documentos previos y desconocimiento de las características del bien y/o servicio que se pretende contratar.
Adendas que cambian condiciones generales del proceso.</v>
          </cell>
          <cell r="B6" t="str">
            <v>Direccionar los procesos hacia
un grupo en particular</v>
          </cell>
          <cell r="D6" t="str">
            <v>No cumplir con los principios de la contratación estatal, en especial con la de selección objetiva. Se incurra en diferentes tipos penales relacionados con la contratación pública. Se incurra en conductas de tipo disciplinario y fiscal.</v>
          </cell>
        </row>
      </sheetData>
      <sheetData sheetId="2"/>
      <sheetData sheetId="3"/>
      <sheetData sheetId="4">
        <row r="9">
          <cell r="B9">
            <v>0</v>
          </cell>
          <cell r="C9">
            <v>0</v>
          </cell>
          <cell r="D9">
            <v>0</v>
          </cell>
          <cell r="E9">
            <v>0</v>
          </cell>
          <cell r="F9" t="str">
            <v>x</v>
          </cell>
          <cell r="G9">
            <v>0</v>
          </cell>
          <cell r="H9">
            <v>0</v>
          </cell>
          <cell r="I9">
            <v>0</v>
          </cell>
          <cell r="J9">
            <v>0</v>
          </cell>
          <cell r="K9">
            <v>0</v>
          </cell>
          <cell r="L9" t="str">
            <v>x</v>
          </cell>
          <cell r="M9">
            <v>0</v>
          </cell>
          <cell r="N9">
            <v>0</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stratégico"/>
      <sheetName val="IdentRiesgo"/>
      <sheetName val="DefRiesgoCorrup"/>
      <sheetName val="ImpactoRiesgoCorrup"/>
      <sheetName val="AnálisisRiesgo"/>
      <sheetName val="EvaluaciónRiesgoCorrup"/>
      <sheetName val="EvaluaciónRiesgoGestión"/>
      <sheetName val="MapaRiesgos,"/>
      <sheetName val="Anterior"/>
      <sheetName val="MapaRiesgos"/>
    </sheetNames>
    <sheetDataSet>
      <sheetData sheetId="0" refreshError="1"/>
      <sheetData sheetId="1" refreshError="1"/>
      <sheetData sheetId="2" refreshError="1"/>
      <sheetData sheetId="3" refreshError="1"/>
      <sheetData sheetId="4" refreshError="1"/>
      <sheetData sheetId="5">
        <row r="11">
          <cell r="F11">
            <v>100</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tabSelected="1" view="pageBreakPreview" zoomScale="40" zoomScaleNormal="30" zoomScaleSheetLayoutView="40" workbookViewId="0">
      <selection activeCell="A17" sqref="A17"/>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9.140625" style="5" customWidth="1"/>
    <col min="9" max="9" width="18.5703125" style="2" customWidth="1"/>
    <col min="10" max="10" width="21.7109375" style="2" customWidth="1"/>
    <col min="11" max="11" width="19.85546875" style="2" customWidth="1"/>
    <col min="12" max="12" width="56" style="2" customWidth="1"/>
    <col min="13" max="13" width="27" style="2" customWidth="1"/>
    <col min="14" max="14" width="36.42578125" style="5" customWidth="1"/>
    <col min="15" max="15" width="54.140625" style="2" bestFit="1" customWidth="1"/>
    <col min="16" max="16" width="30.42578125" style="2" customWidth="1"/>
    <col min="17" max="17" width="44.42578125" style="2" customWidth="1"/>
    <col min="18"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[1]IdentRiesgo!B2</f>
        <v>GESTIÓN DE COMUNICACIONES</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[1]IdentRiesgo!B3</f>
        <v xml:space="preserve">Diseñar, estandarizar, promover y evaluar las estrategias de comunicación interna y externa y de redes sociales del Instituto, que permitan mantener informados a los clientes y/o usuarios sobre las decisiones, acontecimientos y demás hechos de interés general, promovidos y/o organizados por la entidad.
</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6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68" t="s">
        <v>28</v>
      </c>
      <c r="E16" s="68" t="s">
        <v>12</v>
      </c>
      <c r="F16" s="68" t="s">
        <v>29</v>
      </c>
      <c r="G16" s="107"/>
      <c r="H16" s="19" t="s">
        <v>28</v>
      </c>
      <c r="I16" s="19" t="s">
        <v>12</v>
      </c>
      <c r="J16" s="67" t="s">
        <v>29</v>
      </c>
      <c r="K16" s="68" t="s">
        <v>30</v>
      </c>
      <c r="L16" s="68" t="s">
        <v>26</v>
      </c>
      <c r="M16" s="68" t="s">
        <v>31</v>
      </c>
      <c r="N16" s="110"/>
      <c r="O16" s="110"/>
      <c r="P16" s="110"/>
      <c r="Q16" s="110"/>
    </row>
    <row r="17" spans="1:65" ht="272.25" customHeight="1" x14ac:dyDescent="0.25">
      <c r="A17" s="21" t="str">
        <f>[1]IdentRiesgo!A6</f>
        <v xml:space="preserve">Obetenr algun beneficio personal o dinero adicional, con la información técnico científica que genera el Instituto.
                                                                                                                                                                                                                                                                                                                                                                                                                                                                                                  </v>
      </c>
      <c r="B17" s="21" t="str">
        <f>[1]IdentRiesgo!B6</f>
        <v>Utilizar indebidamente la información noticiosa previo a su publicación en los diferentes canales como la Web, el Twitter o el Facebook de la Entidad.</v>
      </c>
      <c r="C17" s="22" t="str">
        <f>[1]IdentRiesgo!D6</f>
        <v>1. Hallazgos en auditorias de los entes de Control. 
2. Perdida de credibilidad en la gestión de la Entidad. 
3. Generacion de panico, alertas y desconfiaza. 
4. Deterioro de imagen y perpecion de
ciudadano sobre la gestion de la entidad.</v>
      </c>
      <c r="D17" s="23">
        <f>IF([1]AnálisisRiesgo!B9&gt;0,5,IF([1]AnálisisRiesgo!C9&gt;0,4,IF([1]AnálisisRiesgo!D9&gt;0,3,IF([1]AnálisisRiesgo!E9&gt;0,2,IF([1]AnálisisRiesgo!F9&gt;0,1,"")))))</f>
        <v>1</v>
      </c>
      <c r="E17" s="23">
        <f>IF([1]AnálisisRiesgo!G9&gt;0,5,IF([1]AnálisisRiesgo!H9&gt;0,4,IF([1]AnálisisRiesgo!I9&gt;0,3,IF([1]AnálisisRiesgo!J9&gt;0,2,IF([1]AnálisisRiesgo!K9&gt;0,1,IF([1]AnálisisRiesgo!L9&gt;0,20,IF([1]AnálisisRiesgo!M9&gt;0,10,IF([1]AnálisisRiesgo!N9&gt;0,5,""))))))))</f>
        <v>20</v>
      </c>
      <c r="F17" s="23" t="str">
        <f>CONCATENATE(S17,T17,U17,V17,W17)</f>
        <v xml:space="preserve">M    </v>
      </c>
      <c r="G17" s="24" t="s">
        <v>132</v>
      </c>
      <c r="H17" s="25"/>
      <c r="I17" s="26" t="s">
        <v>32</v>
      </c>
      <c r="J17" s="23" t="str">
        <f>CONCATENATE(Z17,AA17,AB17,AC17,AD17,AF17,AG17,AH17,AI17,AJ17,AM17,AN17,AO17,AP17,AQ17,AU17,AV17,AW17,AX17,AY17,BB17,BC17,BD17,BE17,BF17,BI17,BJ17,BK17,BL17,BM17)</f>
        <v xml:space="preserve">               B              </v>
      </c>
      <c r="K17" s="23" t="s">
        <v>33</v>
      </c>
      <c r="L17" s="24" t="s">
        <v>133</v>
      </c>
      <c r="M17" s="21" t="s">
        <v>34</v>
      </c>
      <c r="N17" s="27"/>
      <c r="O17" s="24"/>
      <c r="P17" s="28"/>
      <c r="Q17" s="21"/>
      <c r="S17" s="29" t="str">
        <f>IF(AND(D17=1,E17=5),$E$25,IF(AND(D17=1,E17=10),$F$25,IF(AND(D17=1,E17=20),$G$25," ")))</f>
        <v>M</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IF(AND(H17&gt;0,[1]EvaluaciónRiesgoCorrupR3!$F$11&gt;75,D17=1,E17=5),$E$25,IF(AND(H17&gt;0,[1]EvaluaciónRiesgoCorrupR3!$F$11&gt;75,D17=1,E17=10),$F$25,IF(AND(H17&gt;0,[1]EvaluaciónRiesgoCorrupR3!$F$11&gt;75,D17=1,E17=20),$G$25," ")))</f>
        <v xml:space="preserve"> </v>
      </c>
      <c r="AA17" s="29" t="str">
        <f>IF(AND(H17&gt;0,[1]EvaluaciónRiesgoCorrupR3!$F$11&gt;75,D17=2,E17=5),$E$25,IF(AND(H17&gt;0,[1]EvaluaciónRiesgoCorrupR3!$F$11&gt;75,D17=2,E17=10),$F$25,IF(AND(H17&gt;0,[1]EvaluaciónRiesgoCorrupR3!$F$11&gt;75,D17=2,E17=20),$G$25," ")))</f>
        <v xml:space="preserve"> </v>
      </c>
      <c r="AB17" s="29" t="str">
        <f>IF(AND(H17&gt;0,[1]EvaluaciónRiesgoCorrupR3!$F$11&gt;75,D17=3,E17=5),$E$25,IF(AND(H17&gt;0,[1]EvaluaciónRiesgoCorrupR3!$F$11&gt;75,D17=3,E17=10),$F$25,IF(AND(H17&gt;0,[1]EvaluaciónRiesgoCorrupR3!$F$11&gt;75,D17=3,E17=20),$G$25," ")))</f>
        <v xml:space="preserve"> </v>
      </c>
      <c r="AC17" s="29" t="str">
        <f>IF(AND(H17&gt;0,[1]EvaluaciónRiesgoCorrupR3!$F$11&gt;75,D17=4,E17=5),$E$26,IF(AND(H17&gt;0,[1]EvaluaciónRiesgoCorrupR3!$F$11&gt;75,D17=4,E17=10),$F$26,IF(AND(H17&gt;0,[1]EvaluaciónRiesgoCorrupR3!$F$11&gt;75,D17=4,E17=20),$G$26," ")))</f>
        <v xml:space="preserve"> </v>
      </c>
      <c r="AD17" s="29" t="str">
        <f>IF(AND(H17&gt;0,[1]EvaluaciónRiesgoCorrupR3!$F$11&gt;75,D17=5,E17=5),$E$27,IF(AND(H17&gt;0,[1]EvaluaciónRiesgoCorrupR3!$F$11&gt;75,D17=5,E17=10),$F$27,IF(AND(H17&gt;0,[1]EvaluaciónRiesgoCorrupR3!$F$11&gt;75,D17=5,E17=20),$G$27," ")))</f>
        <v xml:space="preserve"> </v>
      </c>
      <c r="AE17" s="30" t="s">
        <v>36</v>
      </c>
      <c r="AF17" s="29" t="str">
        <f>IF(AND(H17&gt;0,[1]EvaluaciónRiesgoCorrupR3!$F$11&gt;50,[1]EvaluaciónRiesgoCorrupR3!$F$11&lt;76,D17=1,E17=5),$E$25,IF(AND(H17&gt;0,[1]EvaluaciónRiesgoCorrupR3!$F$11&gt;50,[1]EvaluaciónRiesgoCorrupR3!$F$11&lt;76,D17=1,E17=10),$F$25,IF(AND(H17&gt;0,[1]EvaluaciónRiesgoCorrupR3!$F$11&gt;50,[1]EvaluaciónRiesgoCorrupR3!$F$11&lt;76,D17=1,E17=20),$G$25," ")))</f>
        <v xml:space="preserve"> </v>
      </c>
      <c r="AG17" s="29" t="str">
        <f>IF(AND(H17&gt;0,[1]EvaluaciónRiesgoCorrupR3!$F$11&gt;50,[1]EvaluaciónRiesgoCorrupR3!$F$11&lt;76,D17=2,E17=5),$E$25,IF(AND(H17&gt;0,[1]EvaluaciónRiesgoCorrupR3!$F$11&gt;50,[1]EvaluaciónRiesgoCorrupR3!$F$11&lt;76,D17=2,E17=10),$F$25,IF(AND(H17&gt;0,[1]EvaluaciónRiesgoCorrupR3!$F$11&gt;50,[1]EvaluaciónRiesgoCorrupR3!$F$11&lt;76,D17=2,E17=20),$G$25," ")))</f>
        <v xml:space="preserve"> </v>
      </c>
      <c r="AH17" s="29" t="str">
        <f>IF(AND(H17&gt;0,[1]EvaluaciónRiesgoCorrupR3!$F$11&gt;50,[1]EvaluaciónRiesgoCorrupR3!$F$11&lt;76,D17=3,E17=5),$E$26,IF(AND(H17&gt;0,[1]EvaluaciónRiesgoCorrupR3!$F$11&gt;50,[1]EvaluaciónRiesgoCorrupR3!$F$11&lt;76,D17=3,E17=10),$F$26,IF(AND(H17&gt;0,[1]EvaluaciónRiesgoCorrupR3!$F$11&gt;50,[1]EvaluaciónRiesgoCorrupR3!$F$11&lt;76,D17=3,E17=20),$G$26," ")))</f>
        <v xml:space="preserve"> </v>
      </c>
      <c r="AI17" s="29" t="str">
        <f>IF(AND(H17&gt;0,[1]EvaluaciónRiesgoCorrupR3!$F$11&gt;50,[1]EvaluaciónRiesgoCorrupR3!$F$11&lt;76,D17=4,E17=5),$E$27,IF(AND(H17&gt;0,[1]EvaluaciónRiesgoCorrupR3!$F$11&gt;50,[1]EvaluaciónRiesgoCorrupR3!$F$11&lt;76,D17=4,E17=10),$F$27,IF(AND(H17&gt;0,[1]EvaluaciónRiesgoCorrupR3!$F$11&gt;50,[1]EvaluaciónRiesgoCorrupR3!$F$11&lt;76,D17=4,E17=20),$G$27," ")))</f>
        <v xml:space="preserve"> </v>
      </c>
      <c r="AJ17" s="29" t="str">
        <f>IF(AND(H17&gt;0,[1]EvaluaciónRiesgoCorrupR3!$F$11&gt;50,[1]EvaluaciónRiesgoCorrupR3!$F$11&lt;76,D17=5,E17=5),$E$28,IF(AND(H17&gt;0,[1]EvaluaciónRiesgoCorrupR3!$F$11&gt;50,[1]EvaluaciónRiesgoCorrupR3!$F$11&lt;76,D17=5,E17=10),$F$28,IF(AND(H17&gt;0,[1]EvaluaciónRiesgoCorrupR3!$F$11&gt;50,[1]EvaluaciónRiesgoCorrupR3!$F$11&lt;76,D17=5,E17=20),$G$28," ")))</f>
        <v xml:space="preserve"> </v>
      </c>
      <c r="AL17" s="30" t="s">
        <v>37</v>
      </c>
      <c r="AM17" s="29" t="str">
        <f>IF(AND(H17&gt;0,[1]EvaluaciónRiesgoCorrupR3!$F$11&lt;51,D17=1,E17=5),$E$25,IF(AND(H17&gt;0,[1]EvaluaciónRiesgoCorrupR3!$F$11&lt;51,D17=1,E17=10),$F$25,IF(AND(H17&gt;0,[1]EvaluaciónRiesgoCorrupR3!$F$11&lt;51,D17=1,E17=20),G$25," ")))</f>
        <v xml:space="preserve"> </v>
      </c>
      <c r="AN17" s="29" t="str">
        <f>IF(AND(H17&gt;0,[1]EvaluaciónRiesgoCorrupR3!$F$11&lt;51,D17=2,E17=5),$E$26,IF(AND(H17&gt;0,[1]EvaluaciónRiesgoCorrupR3!$F$11&lt;51,D17=2,E17=10),$F$26,IF(AND(H17&gt;0,[1]EvaluaciónRiesgoCorrupR3!$F$11&lt;51,D17=2,E17=20),G$26," ")))</f>
        <v xml:space="preserve"> </v>
      </c>
      <c r="AO17" s="29" t="str">
        <f>IF(AND(H17&gt;0,[1]EvaluaciónRiesgoCorrupR3!$F$11&lt;51,D17=3,E17=5),$E$27,IF(AND(H17&gt;0,[1]EvaluaciónRiesgoCorrupR3!$F$11&lt;51,D17=3,E17=10),$F$27,IF(AND(H17&gt;0,[1]EvaluaciónRiesgoCorrupR3!$F$11&lt;51,D17=3,E17=20),G$27," ")))</f>
        <v xml:space="preserve"> </v>
      </c>
      <c r="AP17" s="29" t="str">
        <f>IF(AND(H17&gt;0,[1]EvaluaciónRiesgoCorrupR3!$F$11&lt;51,D17=4,E17=5),$E$28,IF(AND(H17&gt;0,[1]EvaluaciónRiesgoCorrupR3!$F$11&lt;51,D17=4,E17=10),$F$28,IF(AND(H17&gt;0,[1]EvaluaciónRiesgoCorrupR3!$F$11&lt;51,D17=4,E17=20),G$28," ")))</f>
        <v xml:space="preserve"> </v>
      </c>
      <c r="AQ17" s="29" t="str">
        <f>IF(AND(H17&gt;0,[1]EvaluaciónRiesgoCorrupR3!$F$11&lt;51,D17=5,E17=5),$E$29,IF(AND(H17&gt;0,[1]EvaluaciónRiesgoCorrupR3!$F$11&lt;51,D17=5,E17=10),$F$29,IF(AND(H17&gt;0,[1]EvaluaciónRiesgoCorrupR3!$F$11&lt;51,D17=5,E17=20),G$29," ")))</f>
        <v xml:space="preserve"> </v>
      </c>
      <c r="AT17" s="30" t="s">
        <v>35</v>
      </c>
      <c r="AU17" s="29" t="str">
        <f>IF(AND(I17&gt;0,[1]EvaluaciónRiesgoCorrupR3!$F$11&gt;75,D17=1,E17=5),$E$25,IF(AND(I17&gt;0,[1]EvaluaciónRiesgoCorrupR3!$F$11&gt;75,D17=1,E17=10),$E$25,IF(AND(I17&gt;0,[1]EvaluaciónRiesgoCorrupR3!$F$11&gt;75,D17=1,E17=20),$E$25," ")))</f>
        <v>B</v>
      </c>
      <c r="AV17" s="29" t="str">
        <f>IF(AND(I17&gt;0,[1]EvaluaciónRiesgoCorrupR3!$F$11&gt;75,D17=2,E17=5),$E$26,IF(AND(I17&gt;0,[1]EvaluaciónRiesgoCorrupR3!$F$11&gt;75,D17=2,E17=10),$E$26,IF(AND(I17&gt;0,[1]EvaluaciónRiesgoCorrupR3!$F$11&gt;75,D17=2,E17=20),$E$26," ")))</f>
        <v xml:space="preserve"> </v>
      </c>
      <c r="AW17" s="29" t="str">
        <f>IF(AND(I17&gt;0,[1]EvaluaciónRiesgoCorrupR3!$F$11&gt;75,D17=3,E17=5),$E$27,IF(AND(I17&gt;0,[1]EvaluaciónRiesgoCorrupR3!$F$11&gt;75,D17=3,E17=10),$E$27,IF(AND(I17&gt;0,[1]EvaluaciónRiesgoCorrupR3!$F$11&gt;75,D17=3,E17=20),$E$27," ")))</f>
        <v xml:space="preserve"> </v>
      </c>
      <c r="AX17" s="29" t="str">
        <f>IF(AND(I17&gt;0,[1]EvaluaciónRiesgoCorrupR3!$F$11&gt;75,D17=4,E17=5),$E$28,IF(AND(I17&gt;0,[1]EvaluaciónRiesgoCorrupR3!$F$11&gt;75,D17=4,E17=10),$E$28,IF(AND(I17&gt;0,[1]EvaluaciónRiesgoCorrupR3!$F$11&gt;75,D17=4,E17=20),$E$28," ")))</f>
        <v xml:space="preserve"> </v>
      </c>
      <c r="AY17" s="29" t="str">
        <f>IF(AND(I17&gt;0,[1]EvaluaciónRiesgoCorrupR3!$F$11&gt;75,D17=5,E17=5),$E$29,IF(AND(I17&gt;0,[1]EvaluaciónRiesgoCorrupR3!$F$11&gt;75,D17=5,E17=10),$E$29,IF(AND(I17&gt;0,[1]EvaluaciónRiesgoCorrupR3!$F$11&gt;75,D17=5,E17=20),$E$29," ")))</f>
        <v xml:space="preserve"> </v>
      </c>
      <c r="BA17" s="30" t="s">
        <v>36</v>
      </c>
      <c r="BB17" s="29" t="str">
        <f>IF(AND(I17&gt;0,[1]EvaluaciónRiesgoCorrupR3!$F$11&gt;50,[1]EvaluaciónRiesgoCorrupR3!$F$11&lt;76,D17=1,E17=5),$E$25,IF(AND(I17&gt;0,[1]EvaluaciónRiesgoCorrupR3!$F$11&gt;50,[1]EvaluaciónRiesgoCorrupR3!$F$11&lt;76,D17=1,E17=10),$E$25,IF(AND(I17&gt;0,[1]EvaluaciónRiesgoCorrupR3!$F$11&gt;50,[1]EvaluaciónRiesgoCorrupR3!$F$11&lt;76,D17=1,E17=20),$F$25," ")))</f>
        <v xml:space="preserve"> </v>
      </c>
      <c r="BC17" s="29" t="str">
        <f>IF(AND(I17&gt;0,[1]EvaluaciónRiesgoCorrupR3!$F$11&gt;50,[1]EvaluaciónRiesgoCorrupR3!$F$11&lt;76,D17=2,E17=5),$E$26,IF(AND(I17&gt;0,[1]EvaluaciónRiesgoCorrupR3!$F$11&gt;50,[1]EvaluaciónRiesgoCorrupR3!$F$11&lt;76,D17=2,E17=10),$E$26,IF(AND(I17&gt;0,[1]EvaluaciónRiesgoCorrupR3!$F$11&gt;50,[1]EvaluaciónRiesgoCorrupR3!$F$11&lt;76,D17=2,E17=20),$F$26," ")))</f>
        <v xml:space="preserve"> </v>
      </c>
      <c r="BD17" s="29" t="str">
        <f>IF(AND(I17&gt;0,[1]EvaluaciónRiesgoCorrupR3!$F$11&gt;50,[1]EvaluaciónRiesgoCorrupR3!$F$11&lt;76,D17=3,E17=5),$E$27,IF(AND(I17&gt;0,[1]EvaluaciónRiesgoCorrupR3!$F$11&gt;50,[1]EvaluaciónRiesgoCorrupR3!$F$11&lt;76,D17=3,E17=10),$E$27,IF(AND(I17&gt;0,[1]EvaluaciónRiesgoCorrupR3!$F$11&gt;50,[1]EvaluaciónRiesgoCorrupR3!$F$11&lt;76,D17=3,E17=20),$F$27," ")))</f>
        <v xml:space="preserve"> </v>
      </c>
      <c r="BE17" s="29" t="str">
        <f>IF(AND(I17&gt;0,[1]EvaluaciónRiesgoCorrupR3!$F$11&gt;50,[1]EvaluaciónRiesgoCorrupR3!$F$11&lt;76,D17=4,E17=5),$E$28,IF(AND(I17&gt;0,[1]EvaluaciónRiesgoCorrupR3!$F$11&gt;50,[1]EvaluaciónRiesgoCorrupR3!$F$11&lt;76,D17=4,E17=10),$E$28,IF(AND(I17&gt;0,[1]EvaluaciónRiesgoCorrupR3!$F$11&gt;50,[1]EvaluaciónRiesgoCorrupR3!$F$11&lt;76,D17=4,E17=20),$F$28," ")))</f>
        <v xml:space="preserve"> </v>
      </c>
      <c r="BF17" s="29" t="str">
        <f>IF(AND(I17&gt;0,[1]EvaluaciónRiesgoCorrupR3!$F$11&gt;50,[1]EvaluaciónRiesgoCorrupR3!$F$11&lt;76,D17=5,E17=5),$E$29,IF(AND(I17&gt;0,[1]EvaluaciónRiesgoCorrupR3!$F$11&gt;50,[1]EvaluaciónRiesgoCorrupR3!$F$11&lt;76,D17=5,E17=10),$E$29,IF(AND(I17&gt;0,[1]EvaluaciónRiesgoCorrupR3!$F$11&gt;50,[1]EvaluaciónRiesgoCorrupR3!$F$11&lt;76,D17=5,E17=20),$F$29," ")))</f>
        <v xml:space="preserve"> </v>
      </c>
      <c r="BH17" s="30" t="s">
        <v>37</v>
      </c>
      <c r="BI17" s="29" t="str">
        <f>IF(AND(I17&gt;0,[1]EvaluaciónRiesgoCorrupR3!$F$11&lt;51,D17=1,E17=5),$E$25,IF(AND(I17&gt;0,[1]EvaluaciónRiesgoCorrupR3!$F$11&lt;51,D17=1,E17=10),$F$25,IF(AND(I17&gt;0,[1]EvaluaciónRiesgoCorrupR3!$F$11&lt;51,D17=1,E17=20),$G$25," ")))</f>
        <v xml:space="preserve"> </v>
      </c>
      <c r="BJ17" s="29" t="str">
        <f>IF(AND(I17&gt;0,[1]EvaluaciónRiesgoCorrupR3!$F$11&lt;51,D17=2,E17=5),$E$26,IF(AND(I17&gt;0,[1]EvaluaciónRiesgoCorrupR3!$F$11&lt;51,D17=2,E17=10),$F$26,IF(AND(I17&gt;0,[1]EvaluaciónRiesgoCorrupR3!$F$11&lt;51,D17=2,E17=20),$G$26," ")))</f>
        <v xml:space="preserve"> </v>
      </c>
      <c r="BK17" s="29" t="str">
        <f>IF(AND(I17&gt;0,[1]EvaluaciónRiesgoCorrupR3!$F$11&lt;51,D17=3,E17=5),$E$27,IF(AND(I17&gt;0,[1]EvaluaciónRiesgoCorrupR3!$F$11&lt;51,D17=3,E17=10),$F$27,IF(AND(I17&gt;0,[1]EvaluaciónRiesgoCorrupR3!$F$11&lt;51,D17=3,E17=20),$G$27," ")))</f>
        <v xml:space="preserve"> </v>
      </c>
      <c r="BL17" s="29" t="str">
        <f>IF(AND(I17&gt;0,[1]EvaluaciónRiesgoCorrupR3!$F$11&lt;51,D17=4,E17=5),$E$28,IF(AND(I17&gt;0,[1]EvaluaciónRiesgoCorrupR3!$F$11&lt;51,D17=4,E17=10),$F$28,IF(AND(I17&gt;0,[1]EvaluaciónRiesgoCorrupR3!$F$11&lt;51,D17=4,E17=20),$G$28," ")))</f>
        <v xml:space="preserve"> </v>
      </c>
      <c r="BM17" s="29" t="str">
        <f>IF(AND(I17&gt;0,[1]EvaluaciónRiesgoCorrupR3!$F$11&lt;51,D17=5,E17=5),$E$29,IF(AND(I17&gt;0,[1]EvaluaciónRiesgoCorrupR3!$F$11&lt;51,D17=5,E17=10),$F$29,IF(AND(I17&gt;0,[1]EvaluaciónRiesgoCorrupR3!$F$11&lt;51,D17=5,E17=20),$G$29," ")))</f>
        <v xml:space="preserve"> </v>
      </c>
    </row>
    <row r="18" spans="1:65" ht="217.5" customHeight="1" x14ac:dyDescent="0.25">
      <c r="A18" s="21" t="str">
        <f>[1]IdentRiesgo!A7</f>
        <v xml:space="preserve">Falta de control en la priorización de la información que se emite a los usuarios. 
Falta de conocimiento de los funcionarios por cumplir con el deber del libre accaeso a la información como derecho fundamental de los ciudadanos. </v>
      </c>
      <c r="B18" s="21" t="str">
        <f>[1]IdentRiesgo!B7</f>
        <v xml:space="preserve">Ocultar información clave para ciudadanía en caulquier proceso de Rendicion de Cuentas. </v>
      </c>
      <c r="C18" s="22" t="str">
        <f>[1]IdentRiesgo!D7</f>
        <v xml:space="preserve">1. Desinformación frente a la función y gestión de la entidad.  
2.Ocultar Información importante en la rendición de cuentas facilita la apropiación ilegal en beneficio propio o de un tercero, de los bienes y recursos del Estado.
3. Ocultar Información importante en la rendición de cuentas abre
posibilidades para el  aprovechamiento de datos confidenciales para beneficio propio.
4. Deterioro de imagen y perpecion de
ciudadano sobre la gestion de la entidad.
 </v>
      </c>
      <c r="D18" s="23">
        <f>IF([1]AnálisisRiesgo!B10&gt;0,5,IF([1]AnálisisRiesgo!C10&gt;0,4,IF([1]AnálisisRiesgo!D10&gt;0,3,IF([1]AnálisisRiesgo!E10&gt;0,2,IF([1]AnálisisRiesgo!F10&gt;0,1,"")))))</f>
        <v>1</v>
      </c>
      <c r="E18" s="23">
        <f>IF([1]AnálisisRiesgo!G10&gt;0,5,IF([1]AnálisisRiesgo!H10&gt;0,4,IF([1]AnálisisRiesgo!I10&gt;0,3,IF([1]AnálisisRiesgo!J10&gt;0,2,IF([1]AnálisisRiesgo!K10&gt;0,1,IF([1]AnálisisRiesgo!L10&gt;0,20,IF([1]AnálisisRiesgo!M10&gt;0,10,IF([1]AnálisisRiesgo!N10&gt;0,5,""))))))))</f>
        <v>20</v>
      </c>
      <c r="F18" s="23" t="str">
        <f t="shared" ref="F18:F19" si="0">CONCATENATE(S18,T18,U18,V18,W18)</f>
        <v xml:space="preserve">M    </v>
      </c>
      <c r="G18" s="24" t="s">
        <v>38</v>
      </c>
      <c r="H18" s="25"/>
      <c r="I18" s="26" t="s">
        <v>32</v>
      </c>
      <c r="J18" s="23" t="str">
        <f t="shared" ref="J18:J19" si="1">CONCATENATE(Z18,AA18,AB18,AC18,AD18,AF18,AG18,AH18,AI18,AJ18,AM18,AN18,AO18,AP18,AQ18,AU18,AV18,AW18,AX18,AY18,BB18,BC18,BD18,BE18,BF18,BI18,BJ18,BK18,BL18,BM18)</f>
        <v xml:space="preserve">               B              </v>
      </c>
      <c r="K18" s="23" t="s">
        <v>39</v>
      </c>
      <c r="L18" s="24" t="s">
        <v>40</v>
      </c>
      <c r="M18" s="24" t="s">
        <v>41</v>
      </c>
      <c r="N18" s="23"/>
      <c r="O18" s="27"/>
      <c r="P18" s="28"/>
      <c r="Q18" s="31"/>
      <c r="S18" s="29" t="str">
        <f>IF(AND(D18=1,E18=5),$E$25,IF(AND(D18=1,E18=10),$F$25,IF(AND(D18=1,E18=20),$G$25," ")))</f>
        <v>M</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IF(AND(H18&gt;0,[1]EvaluaciónRiesgoCorrupR3!$F$11&gt;75,D18=1,E18=5),$E$25,IF(AND(H18&gt;0,[1]EvaluaciónRiesgoCorrupR3!$F$11&gt;75,D18=1,E18=10),$F$25,IF(AND(H18&gt;0,[1]EvaluaciónRiesgoCorrupR3!$F$11&gt;75,D18=1,E18=20),$G$25," ")))</f>
        <v xml:space="preserve"> </v>
      </c>
      <c r="AA18" s="29" t="str">
        <f>IF(AND(H18&gt;0,[1]EvaluaciónRiesgoCorrupR3!$F$11&gt;75,D18=2,E18=5),$E$25,IF(AND(H18&gt;0,[1]EvaluaciónRiesgoCorrupR3!$F$11&gt;75,D18=2,E18=10),$F$25,IF(AND(H18&gt;0,[1]EvaluaciónRiesgoCorrupR3!$F$11&gt;75,D18=2,E18=20),$G$25," ")))</f>
        <v xml:space="preserve"> </v>
      </c>
      <c r="AB18" s="29" t="str">
        <f>IF(AND(H18&gt;0,[1]EvaluaciónRiesgoCorrupR3!$F$11&gt;75,D18=3,E18=5),$E$25,IF(AND(H18&gt;0,[1]EvaluaciónRiesgoCorrupR3!$F$11&gt;75,D18=3,E18=10),$F$25,IF(AND(H18&gt;0,[1]EvaluaciónRiesgoCorrupR3!$F$11&gt;75,D18=3,E18=20),$G$25," ")))</f>
        <v xml:space="preserve"> </v>
      </c>
      <c r="AC18" s="29" t="str">
        <f>IF(AND(H18&gt;0,[1]EvaluaciónRiesgoCorrupR3!$F$11&gt;75,D18=4,E18=5),$E$26,IF(AND(H18&gt;0,[1]EvaluaciónRiesgoCorrupR3!$F$11&gt;75,D18=4,E18=10),$F$26,IF(AND(H18&gt;0,[1]EvaluaciónRiesgoCorrupR3!$F$11&gt;75,D18=4,E18=20),$G$26," ")))</f>
        <v xml:space="preserve"> </v>
      </c>
      <c r="AD18" s="29" t="str">
        <f>IF(AND(H18&gt;0,[1]EvaluaciónRiesgoCorrupR3!$F$11&gt;75,D18=5,E18=5),$E$27,IF(AND(H18&gt;0,[1]EvaluaciónRiesgoCorrupR3!$F$11&gt;75,D18=5,E18=10),$F$27,IF(AND(H18&gt;0,[1]EvaluaciónRiesgoCorrupR3!$F$11&gt;75,D18=5,E18=20),$G$27," ")))</f>
        <v xml:space="preserve"> </v>
      </c>
      <c r="AF18" s="29" t="str">
        <f>IF(AND(H18&gt;0,[1]EvaluaciónRiesgoCorrupR3!$F$11&gt;50,[1]EvaluaciónRiesgoCorrupR3!$F$11&lt;76,D18=1,E18=5),$E$25,IF(AND(H18&gt;0,[1]EvaluaciónRiesgoCorrupR3!$F$11&gt;50,[1]EvaluaciónRiesgoCorrupR3!$F$11&lt;76,D18=1,E18=10),$F$25,IF(AND(H18&gt;0,[1]EvaluaciónRiesgoCorrupR3!$F$11&gt;50,[1]EvaluaciónRiesgoCorrupR3!$F$11&lt;76,D18=1,E18=20),$G$25," ")))</f>
        <v xml:space="preserve"> </v>
      </c>
      <c r="AG18" s="29" t="str">
        <f>IF(AND(H18&gt;0,[1]EvaluaciónRiesgoCorrupR3!$F$11&gt;50,[1]EvaluaciónRiesgoCorrupR3!$F$11&lt;76,D18=2,E18=5),$E$25,IF(AND(H18&gt;0,[1]EvaluaciónRiesgoCorrupR3!$F$11&gt;50,[1]EvaluaciónRiesgoCorrupR3!$F$11&lt;76,D18=2,E18=10),$F$25,IF(AND(H18&gt;0,[1]EvaluaciónRiesgoCorrupR3!$F$11&gt;50,[1]EvaluaciónRiesgoCorrupR3!$F$11&lt;76,D18=2,E18=20),$G$25," ")))</f>
        <v xml:space="preserve"> </v>
      </c>
      <c r="AH18" s="29" t="str">
        <f>IF(AND(H18&gt;0,[1]EvaluaciónRiesgoCorrupR3!$F$11&gt;50,[1]EvaluaciónRiesgoCorrupR3!$F$11&lt;76,D18=3,E18=5),$E$26,IF(AND(H18&gt;0,[1]EvaluaciónRiesgoCorrupR3!$F$11&gt;50,[1]EvaluaciónRiesgoCorrupR3!$F$11&lt;76,D18=3,E18=10),$F$26,IF(AND(H18&gt;0,[1]EvaluaciónRiesgoCorrupR3!$F$11&gt;50,[1]EvaluaciónRiesgoCorrupR3!$F$11&lt;76,D18=3,E18=20),$G$26," ")))</f>
        <v xml:space="preserve"> </v>
      </c>
      <c r="AI18" s="29" t="str">
        <f>IF(AND(H18&gt;0,[1]EvaluaciónRiesgoCorrupR3!$F$11&gt;50,[1]EvaluaciónRiesgoCorrupR3!$F$11&lt;76,D18=4,E18=5),$E$27,IF(AND(H18&gt;0,[1]EvaluaciónRiesgoCorrupR3!$F$11&gt;50,[1]EvaluaciónRiesgoCorrupR3!$F$11&lt;76,D18=4,E18=10),$F$27,IF(AND(H18&gt;0,[1]EvaluaciónRiesgoCorrupR3!$F$11&gt;50,[1]EvaluaciónRiesgoCorrupR3!$F$11&lt;76,D18=4,E18=20),$G$27," ")))</f>
        <v xml:space="preserve"> </v>
      </c>
      <c r="AJ18" s="29" t="str">
        <f>IF(AND(H18&gt;0,[1]EvaluaciónRiesgoCorrupR3!$F$11&gt;50,[1]EvaluaciónRiesgoCorrupR3!$F$11&lt;76,D18=5,E18=5),$E$28,IF(AND(H18&gt;0,[1]EvaluaciónRiesgoCorrupR3!$F$11&gt;50,[1]EvaluaciónRiesgoCorrupR3!$F$11&lt;76,D18=5,E18=10),$F$28,IF(AND(H18&gt;0,[1]EvaluaciónRiesgoCorrupR3!$F$11&gt;50,[1]EvaluaciónRiesgoCorrupR3!$F$11&lt;76,D18=5,E18=20),$G$28," ")))</f>
        <v xml:space="preserve"> </v>
      </c>
      <c r="AM18" s="29" t="str">
        <f>IF(AND(H18&gt;0,[1]EvaluaciónRiesgoCorrupR3!$F$11&lt;51,D18=1,E18=5),$E$25,IF(AND(H18&gt;0,[1]EvaluaciónRiesgoCorrupR3!$F$11&lt;51,D18=1,E18=10),$F$25,IF(AND(H18&gt;0,[1]EvaluaciónRiesgoCorrupR3!$F$11&lt;51,D18=1,E18=20),G$25," ")))</f>
        <v xml:space="preserve"> </v>
      </c>
      <c r="AN18" s="29" t="str">
        <f>IF(AND(H18&gt;0,[1]EvaluaciónRiesgoCorrupR3!$F$11&lt;51,D18=2,E18=5),$E$26,IF(AND(H18&gt;0,[1]EvaluaciónRiesgoCorrupR3!$F$11&lt;51,D18=2,E18=10),$F$26,IF(AND(H18&gt;0,[1]EvaluaciónRiesgoCorrupR3!$F$11&lt;51,D18=2,E18=20),G$26," ")))</f>
        <v xml:space="preserve"> </v>
      </c>
      <c r="AO18" s="29" t="str">
        <f>IF(AND(H18&gt;0,[1]EvaluaciónRiesgoCorrupR3!$F$11&lt;51,D18=3,E18=5),$E$27,IF(AND(H18&gt;0,[1]EvaluaciónRiesgoCorrupR3!$F$11&lt;51,D18=3,E18=10),$F$27,IF(AND(H18&gt;0,[1]EvaluaciónRiesgoCorrupR3!$F$11&lt;51,D18=3,E18=20),G$27," ")))</f>
        <v xml:space="preserve"> </v>
      </c>
      <c r="AP18" s="29" t="str">
        <f>IF(AND(H18&gt;0,[1]EvaluaciónRiesgoCorrupR3!$F$11&lt;51,D18=4,E18=5),$E$28,IF(AND(H18&gt;0,[1]EvaluaciónRiesgoCorrupR3!$F$11&lt;51,D18=4,E18=10),$F$28,IF(AND(H18&gt;0,[1]EvaluaciónRiesgoCorrupR3!$F$11&lt;51,D18=4,E18=20),G$28," ")))</f>
        <v xml:space="preserve"> </v>
      </c>
      <c r="AQ18" s="29" t="str">
        <f>IF(AND(H18&gt;0,[1]EvaluaciónRiesgoCorrupR3!$F$11&lt;51,D18=5,E18=5),$E$29,IF(AND(H18&gt;0,[1]EvaluaciónRiesgoCorrupR3!$F$11&lt;51,D18=5,E18=10),$F$29,IF(AND(H18&gt;0,[1]EvaluaciónRiesgoCorrupR3!$F$11&lt;51,D18=5,E18=20),G$29," ")))</f>
        <v xml:space="preserve"> </v>
      </c>
      <c r="AU18" s="29" t="str">
        <f>IF(AND(I18&gt;0,[1]EvaluaciónRiesgoCorrupR3!$F$11&gt;75,D18=1,E18=5),$E$25,IF(AND(I18&gt;0,[1]EvaluaciónRiesgoCorrupR3!$F$11&gt;75,D18=1,E18=10),$E$25,IF(AND(I18&gt;0,[1]EvaluaciónRiesgoCorrupR3!$F$11&gt;75,D18=1,E18=20),$E$25," ")))</f>
        <v>B</v>
      </c>
      <c r="AV18" s="29" t="str">
        <f>IF(AND(I18&gt;0,[1]EvaluaciónRiesgoCorrupR3!$F$11&gt;75,D18=2,E18=5),$E$26,IF(AND(I18&gt;0,[1]EvaluaciónRiesgoCorrupR3!$F$11&gt;75,D18=2,E18=10),$E$26,IF(AND(I18&gt;0,[1]EvaluaciónRiesgoCorrupR3!$F$11&gt;75,D18=2,E18=20),$E$26," ")))</f>
        <v xml:space="preserve"> </v>
      </c>
      <c r="AW18" s="29" t="str">
        <f>IF(AND(I18&gt;0,[1]EvaluaciónRiesgoCorrupR3!$F$11&gt;75,D18=3,E18=5),$E$27,IF(AND(I18&gt;0,[1]EvaluaciónRiesgoCorrupR3!$F$11&gt;75,D18=3,E18=10),$E$27,IF(AND(I18&gt;0,[1]EvaluaciónRiesgoCorrupR3!$F$11&gt;75,D18=3,E18=20),$E$27," ")))</f>
        <v xml:space="preserve"> </v>
      </c>
      <c r="AX18" s="29" t="str">
        <f>IF(AND(I18&gt;0,[1]EvaluaciónRiesgoCorrupR3!$F$11&gt;75,D18=4,E18=5),$E$28,IF(AND(I18&gt;0,[1]EvaluaciónRiesgoCorrupR3!$F$11&gt;75,D18=4,E18=10),$E$28,IF(AND(I18&gt;0,[1]EvaluaciónRiesgoCorrupR3!$F$11&gt;75,D18=4,E18=20),$E$28," ")))</f>
        <v xml:space="preserve"> </v>
      </c>
      <c r="AY18" s="29" t="str">
        <f>IF(AND(I18&gt;0,[1]EvaluaciónRiesgoCorrupR3!$F$11&gt;75,D18=5,E18=5),$E$29,IF(AND(I18&gt;0,[1]EvaluaciónRiesgoCorrupR3!$F$11&gt;75,D18=5,E18=10),$E$29,IF(AND(I18&gt;0,[1]EvaluaciónRiesgoCorrupR3!$F$11&gt;75,D18=5,E18=20),$E$29," ")))</f>
        <v xml:space="preserve"> </v>
      </c>
      <c r="BB18" s="29" t="str">
        <f>IF(AND(I18&gt;0,[1]EvaluaciónRiesgoCorrupR3!$F$11&gt;50,[1]EvaluaciónRiesgoCorrupR3!$F$11&lt;76,D18=1,E18=5),$E$25,IF(AND(I18&gt;0,[1]EvaluaciónRiesgoCorrupR3!$F$11&gt;50,[1]EvaluaciónRiesgoCorrupR3!$F$11&lt;76,D18=1,E18=10),$E$25,IF(AND(I18&gt;0,[1]EvaluaciónRiesgoCorrupR3!$F$11&gt;50,[1]EvaluaciónRiesgoCorrupR3!$F$11&lt;76,D18=1,E18=20),$F$25," ")))</f>
        <v xml:space="preserve"> </v>
      </c>
      <c r="BC18" s="29" t="str">
        <f>IF(AND(I18&gt;0,[1]EvaluaciónRiesgoCorrupR3!$F$11&gt;50,[1]EvaluaciónRiesgoCorrupR3!$F$11&lt;76,D18=2,E18=5),$E$26,IF(AND(I18&gt;0,[1]EvaluaciónRiesgoCorrupR3!$F$11&gt;50,[1]EvaluaciónRiesgoCorrupR3!$F$11&lt;76,D18=2,E18=10),$E$26,IF(AND(I18&gt;0,[1]EvaluaciónRiesgoCorrupR3!$F$11&gt;50,[1]EvaluaciónRiesgoCorrupR3!$F$11&lt;76,D18=2,E18=20),$F$26," ")))</f>
        <v xml:space="preserve"> </v>
      </c>
      <c r="BD18" s="29" t="str">
        <f>IF(AND(I18&gt;0,[1]EvaluaciónRiesgoCorrupR3!$F$11&gt;50,[1]EvaluaciónRiesgoCorrupR3!$F$11&lt;76,D18=3,E18=5),$E$27,IF(AND(I18&gt;0,[1]EvaluaciónRiesgoCorrupR3!$F$11&gt;50,[1]EvaluaciónRiesgoCorrupR3!$F$11&lt;76,D18=3,E18=10),$E$27,IF(AND(I18&gt;0,[1]EvaluaciónRiesgoCorrupR3!$F$11&gt;50,[1]EvaluaciónRiesgoCorrupR3!$F$11&lt;76,D18=3,E18=20),$F$27," ")))</f>
        <v xml:space="preserve"> </v>
      </c>
      <c r="BE18" s="29" t="str">
        <f>IF(AND(I18&gt;0,[1]EvaluaciónRiesgoCorrupR3!$F$11&gt;50,[1]EvaluaciónRiesgoCorrupR3!$F$11&lt;76,D18=4,E18=5),$E$28,IF(AND(I18&gt;0,[1]EvaluaciónRiesgoCorrupR3!$F$11&gt;50,[1]EvaluaciónRiesgoCorrupR3!$F$11&lt;76,D18=4,E18=10),$E$28,IF(AND(I18&gt;0,[1]EvaluaciónRiesgoCorrupR3!$F$11&gt;50,[1]EvaluaciónRiesgoCorrupR3!$F$11&lt;76,D18=4,E18=20),$F$28," ")))</f>
        <v xml:space="preserve"> </v>
      </c>
      <c r="BF18" s="29" t="str">
        <f>IF(AND(I18&gt;0,[1]EvaluaciónRiesgoCorrupR3!$F$11&gt;50,[1]EvaluaciónRiesgoCorrupR3!$F$11&lt;76,D18=5,E18=5),$E$29,IF(AND(I18&gt;0,[1]EvaluaciónRiesgoCorrupR3!$F$11&gt;50,[1]EvaluaciónRiesgoCorrupR3!$F$11&lt;76,D18=5,E18=10),$E$29,IF(AND(I18&gt;0,[1]EvaluaciónRiesgoCorrupR3!$F$11&gt;50,[1]EvaluaciónRiesgoCorrupR3!$F$11&lt;76,D18=5,E18=20),$F$29," ")))</f>
        <v xml:space="preserve"> </v>
      </c>
      <c r="BI18" s="29" t="str">
        <f>IF(AND(I18&gt;0,[1]EvaluaciónRiesgoCorrupR3!$F$11&lt;51,D18=1,E18=5),$E$25,IF(AND(I18&gt;0,[1]EvaluaciónRiesgoCorrupR3!$F$11&lt;51,D18=1,E18=10),$F$25,IF(AND(I18&gt;0,[1]EvaluaciónRiesgoCorrupR3!$F$11&lt;51,D18=1,E18=20),$G$25," ")))</f>
        <v xml:space="preserve"> </v>
      </c>
      <c r="BJ18" s="29" t="str">
        <f>IF(AND(I18&gt;0,[1]EvaluaciónRiesgoCorrupR3!$F$11&lt;51,D18=2,E18=5),$E$26,IF(AND(I18&gt;0,[1]EvaluaciónRiesgoCorrupR3!$F$11&lt;51,D18=2,E18=10),$F$26,IF(AND(I18&gt;0,[1]EvaluaciónRiesgoCorrupR3!$F$11&lt;51,D18=2,E18=20),$G$26," ")))</f>
        <v xml:space="preserve"> </v>
      </c>
      <c r="BK18" s="29" t="str">
        <f>IF(AND(I18&gt;0,[1]EvaluaciónRiesgoCorrupR3!$F$11&lt;51,D18=3,E18=5),$E$27,IF(AND(I18&gt;0,[1]EvaluaciónRiesgoCorrupR3!$F$11&lt;51,D18=3,E18=10),$F$27,IF(AND(I18&gt;0,[1]EvaluaciónRiesgoCorrupR3!$F$11&lt;51,D18=3,E18=20),$G$27," ")))</f>
        <v xml:space="preserve"> </v>
      </c>
      <c r="BL18" s="29" t="str">
        <f>IF(AND(I18&gt;0,[1]EvaluaciónRiesgoCorrupR3!$F$11&lt;51,D18=4,E18=5),$E$28,IF(AND(I18&gt;0,[1]EvaluaciónRiesgoCorrupR3!$F$11&lt;51,D18=4,E18=10),$F$28,IF(AND(I18&gt;0,[1]EvaluaciónRiesgoCorrupR3!$F$11&lt;51,D18=4,E18=20),$G$28," ")))</f>
        <v xml:space="preserve"> </v>
      </c>
      <c r="BM18" s="29" t="str">
        <f>IF(AND(I18&gt;0,[1]EvaluaciónRiesgoCorrupR3!$F$11&lt;51,D18=5,E18=5),$E$29,IF(AND(I18&gt;0,[1]EvaluaciónRiesgoCorrupR3!$F$11&lt;51,D18=5,E18=10),$F$29,IF(AND(I18&gt;0,[1]EvaluaciónRiesgoCorrupR3!$F$11&lt;51,D18=5,E18=20),$G$29," ")))</f>
        <v xml:space="preserve"> </v>
      </c>
    </row>
    <row r="19" spans="1:65" ht="180.75" customHeight="1" x14ac:dyDescent="0.25">
      <c r="A19" s="21" t="str">
        <f>[1]IdentRiesgo!A8</f>
        <v xml:space="preserve">Desconocimiento de roles y responsabilidades frente a divulgacion de la informacion noticiosa por parte de los funcionarios del Grupo de comunicaciones IDEAM.
Pronunciamientos confusos para usuarios y partes interesadas sobre el IDEAM.
Entrega incompleta y/o extemporanea de la información, por parte de los diferentes procesos.
</v>
      </c>
      <c r="B19" s="21" t="str">
        <f>[1]IdentRiesgo!B8</f>
        <v>Manipular y divulgar informacion noticiosa, incompleta, confusa e inadecuada a usuarios y partes interesadas relacionada con planes, proyectos, programas, servicios, tramites y actividades del instituto, en beneficio particular.</v>
      </c>
      <c r="C19" s="22" t="str">
        <f>[1]IdentRiesgo!D8</f>
        <v>1. Hallazgos en auditorias de los entes de Control. 
2. Perdida de credibilidad en la gestión de la Entidad. 
3. Generacion de panico, alertas y desconfiaza. 
4. Deterioro de imagen y perpecion de ciudadano sobre la gestion de la entidad.</v>
      </c>
      <c r="D19" s="23">
        <f>IF([1]AnálisisRiesgo!B11&gt;0,5,IF([1]AnálisisRiesgo!C11&gt;0,4,IF([1]AnálisisRiesgo!D11&gt;0,3,IF([1]AnálisisRiesgo!E11&gt;0,2,IF([1]AnálisisRiesgo!F11&gt;0,1,"")))))</f>
        <v>1</v>
      </c>
      <c r="E19" s="23">
        <f>IF([1]AnálisisRiesgo!G11&gt;0,5,IF([1]AnálisisRiesgo!H11&gt;0,4,IF([1]AnálisisRiesgo!I11&gt;0,3,IF([1]AnálisisRiesgo!J11&gt;0,2,IF([1]AnálisisRiesgo!K11&gt;0,1,IF([1]AnálisisRiesgo!L11&gt;0,20,IF([1]AnálisisRiesgo!M11&gt;0,10,IF([1]AnálisisRiesgo!N11&gt;0,5,""))))))))</f>
        <v>20</v>
      </c>
      <c r="F19" s="23" t="str">
        <f t="shared" si="0"/>
        <v xml:space="preserve">M    </v>
      </c>
      <c r="G19" s="24" t="s">
        <v>42</v>
      </c>
      <c r="H19" s="25"/>
      <c r="I19" s="26" t="s">
        <v>32</v>
      </c>
      <c r="J19" s="23" t="str">
        <f t="shared" si="1"/>
        <v xml:space="preserve">               B              </v>
      </c>
      <c r="K19" s="23" t="s">
        <v>43</v>
      </c>
      <c r="L19" s="24" t="s">
        <v>44</v>
      </c>
      <c r="M19" s="24" t="s">
        <v>45</v>
      </c>
      <c r="N19" s="23"/>
      <c r="O19" s="27"/>
      <c r="P19" s="28"/>
      <c r="Q19" s="31"/>
      <c r="S19" s="29" t="str">
        <f>IF(AND(D19=1,E19=5),$E$25,IF(AND(D19=1,E19=10),$F$25,IF(AND(D19=1,E19=20),$G$25," ")))</f>
        <v>M</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IF(AND(H19&gt;0,[1]EvaluaciónRiesgoCorrupR3!$F$11&gt;75,D19=1,E19=5),$E$25,IF(AND(H19&gt;0,[1]EvaluaciónRiesgoCorrupR3!$F$11&gt;75,D19=1,E19=10),$F$25,IF(AND(H19&gt;0,[1]EvaluaciónRiesgoCorrupR3!$F$11&gt;75,D19=1,E19=20),$G$25," ")))</f>
        <v xml:space="preserve"> </v>
      </c>
      <c r="AA19" s="29" t="str">
        <f>IF(AND(H19&gt;0,[1]EvaluaciónRiesgoCorrupR3!$F$11&gt;75,D19=2,E19=5),$E$25,IF(AND(H19&gt;0,[1]EvaluaciónRiesgoCorrupR3!$F$11&gt;75,D19=2,E19=10),$F$25,IF(AND(H19&gt;0,[1]EvaluaciónRiesgoCorrupR3!$F$11&gt;75,D19=2,E19=20),$G$25," ")))</f>
        <v xml:space="preserve"> </v>
      </c>
      <c r="AB19" s="29" t="str">
        <f>IF(AND(H19&gt;0,[1]EvaluaciónRiesgoCorrupR3!$F$11&gt;75,D19=3,E19=5),$E$25,IF(AND(H19&gt;0,[1]EvaluaciónRiesgoCorrupR3!$F$11&gt;75,D19=3,E19=10),$F$25,IF(AND(H19&gt;0,[1]EvaluaciónRiesgoCorrupR3!$F$11&gt;75,D19=3,E19=20),$G$25," ")))</f>
        <v xml:space="preserve"> </v>
      </c>
      <c r="AC19" s="29" t="str">
        <f>IF(AND(H19&gt;0,[1]EvaluaciónRiesgoCorrupR3!$F$11&gt;75,D19=4,E19=5),$E$26,IF(AND(H19&gt;0,[1]EvaluaciónRiesgoCorrupR3!$F$11&gt;75,D19=4,E19=10),$F$26,IF(AND(H19&gt;0,[1]EvaluaciónRiesgoCorrupR3!$F$11&gt;75,D19=4,E19=20),$G$26," ")))</f>
        <v xml:space="preserve"> </v>
      </c>
      <c r="AD19" s="29" t="str">
        <f>IF(AND(H19&gt;0,[1]EvaluaciónRiesgoCorrupR3!$F$11&gt;75,D19=5,E19=5),$E$27,IF(AND(H19&gt;0,[1]EvaluaciónRiesgoCorrupR3!$F$11&gt;75,D19=5,E19=10),$F$27,IF(AND(H19&gt;0,[1]EvaluaciónRiesgoCorrupR3!$F$11&gt;75,D19=5,E19=20),$G$27," ")))</f>
        <v xml:space="preserve"> </v>
      </c>
      <c r="AF19" s="29" t="str">
        <f>IF(AND(H19&gt;0,[1]EvaluaciónRiesgoCorrupR3!$F$11&gt;50,[1]EvaluaciónRiesgoCorrupR3!$F$11&lt;76,D19=1,E19=5),$E$25,IF(AND(H19&gt;0,[1]EvaluaciónRiesgoCorrupR3!$F$11&gt;50,[1]EvaluaciónRiesgoCorrupR3!$F$11&lt;76,D19=1,E19=10),$F$25,IF(AND(H19&gt;0,[1]EvaluaciónRiesgoCorrupR3!$F$11&gt;50,[1]EvaluaciónRiesgoCorrupR3!$F$11&lt;76,D19=1,E19=20),$G$25," ")))</f>
        <v xml:space="preserve"> </v>
      </c>
      <c r="AG19" s="29" t="str">
        <f>IF(AND(H19&gt;0,[1]EvaluaciónRiesgoCorrupR3!$F$11&gt;50,[1]EvaluaciónRiesgoCorrupR3!$F$11&lt;76,D19=2,E19=5),$E$25,IF(AND(H19&gt;0,[1]EvaluaciónRiesgoCorrupR3!$F$11&gt;50,[1]EvaluaciónRiesgoCorrupR3!$F$11&lt;76,D19=2,E19=10),$F$25,IF(AND(H19&gt;0,[1]EvaluaciónRiesgoCorrupR3!$F$11&gt;50,[1]EvaluaciónRiesgoCorrupR3!$F$11&lt;76,D19=2,E19=20),$G$25," ")))</f>
        <v xml:space="preserve"> </v>
      </c>
      <c r="AH19" s="29" t="str">
        <f>IF(AND(H19&gt;0,[1]EvaluaciónRiesgoCorrupR3!$F$11&gt;50,[1]EvaluaciónRiesgoCorrupR3!$F$11&lt;76,D19=3,E19=5),$E$26,IF(AND(H19&gt;0,[1]EvaluaciónRiesgoCorrupR3!$F$11&gt;50,[1]EvaluaciónRiesgoCorrupR3!$F$11&lt;76,D19=3,E19=10),$F$26,IF(AND(H19&gt;0,[1]EvaluaciónRiesgoCorrupR3!$F$11&gt;50,[1]EvaluaciónRiesgoCorrupR3!$F$11&lt;76,D19=3,E19=20),$G$26," ")))</f>
        <v xml:space="preserve"> </v>
      </c>
      <c r="AI19" s="29" t="str">
        <f>IF(AND(H19&gt;0,[1]EvaluaciónRiesgoCorrupR3!$F$11&gt;50,[1]EvaluaciónRiesgoCorrupR3!$F$11&lt;76,D19=4,E19=5),$E$27,IF(AND(H19&gt;0,[1]EvaluaciónRiesgoCorrupR3!$F$11&gt;50,[1]EvaluaciónRiesgoCorrupR3!$F$11&lt;76,D19=4,E19=10),$F$27,IF(AND(H19&gt;0,[1]EvaluaciónRiesgoCorrupR3!$F$11&gt;50,[1]EvaluaciónRiesgoCorrupR3!$F$11&lt;76,D19=4,E19=20),$G$27," ")))</f>
        <v xml:space="preserve"> </v>
      </c>
      <c r="AJ19" s="29" t="str">
        <f>IF(AND(H19&gt;0,[1]EvaluaciónRiesgoCorrupR3!$F$11&gt;50,[1]EvaluaciónRiesgoCorrupR3!$F$11&lt;76,D19=5,E19=5),$E$28,IF(AND(H19&gt;0,[1]EvaluaciónRiesgoCorrupR3!$F$11&gt;50,[1]EvaluaciónRiesgoCorrupR3!$F$11&lt;76,D19=5,E19=10),$F$28,IF(AND(H19&gt;0,[1]EvaluaciónRiesgoCorrupR3!$F$11&gt;50,[1]EvaluaciónRiesgoCorrupR3!$F$11&lt;76,D19=5,E19=20),$G$28," ")))</f>
        <v xml:space="preserve"> </v>
      </c>
      <c r="AM19" s="29" t="str">
        <f>IF(AND(H19&gt;0,[1]EvaluaciónRiesgoCorrupR3!$F$11&lt;51,D19=1,E19=5),$E$25,IF(AND(H19&gt;0,[1]EvaluaciónRiesgoCorrupR3!$F$11&lt;51,D19=1,E19=10),$F$25,IF(AND(H19&gt;0,[1]EvaluaciónRiesgoCorrupR3!$F$11&lt;51,D19=1,E19=20),G$25," ")))</f>
        <v xml:space="preserve"> </v>
      </c>
      <c r="AN19" s="29" t="str">
        <f>IF(AND(H19&gt;0,[1]EvaluaciónRiesgoCorrupR3!$F$11&lt;51,D19=2,E19=5),$E$26,IF(AND(H19&gt;0,[1]EvaluaciónRiesgoCorrupR3!$F$11&lt;51,D19=2,E19=10),$F$26,IF(AND(H19&gt;0,[1]EvaluaciónRiesgoCorrupR3!$F$11&lt;51,D19=2,E19=20),G$26," ")))</f>
        <v xml:space="preserve"> </v>
      </c>
      <c r="AO19" s="29" t="str">
        <f>IF(AND(H19&gt;0,[1]EvaluaciónRiesgoCorrupR3!$F$11&lt;51,D19=3,E19=5),$E$27,IF(AND(H19&gt;0,[1]EvaluaciónRiesgoCorrupR3!$F$11&lt;51,D19=3,E19=10),$F$27,IF(AND(H19&gt;0,[1]EvaluaciónRiesgoCorrupR3!$F$11&lt;51,D19=3,E19=20),G$27," ")))</f>
        <v xml:space="preserve"> </v>
      </c>
      <c r="AP19" s="29" t="str">
        <f>IF(AND(H19&gt;0,[1]EvaluaciónRiesgoCorrupR3!$F$11&lt;51,D19=4,E19=5),$E$28,IF(AND(H19&gt;0,[1]EvaluaciónRiesgoCorrupR3!$F$11&lt;51,D19=4,E19=10),$F$28,IF(AND(H19&gt;0,[1]EvaluaciónRiesgoCorrupR3!$F$11&lt;51,D19=4,E19=20),G$28," ")))</f>
        <v xml:space="preserve"> </v>
      </c>
      <c r="AQ19" s="29" t="str">
        <f>IF(AND(H19&gt;0,[1]EvaluaciónRiesgoCorrupR3!$F$11&lt;51,D19=5,E19=5),$E$29,IF(AND(H19&gt;0,[1]EvaluaciónRiesgoCorrupR3!$F$11&lt;51,D19=5,E19=10),$F$29,IF(AND(H19&gt;0,[1]EvaluaciónRiesgoCorrupR3!$F$11&lt;51,D19=5,E19=20),G$29," ")))</f>
        <v xml:space="preserve"> </v>
      </c>
      <c r="AU19" s="29" t="str">
        <f>IF(AND(I19&gt;0,[1]EvaluaciónRiesgoCorrupR3!$F$11&gt;75,D19=1,E19=5),$E$25,IF(AND(I19&gt;0,[1]EvaluaciónRiesgoCorrupR3!$F$11&gt;75,D19=1,E19=10),$E$25,IF(AND(I19&gt;0,[1]EvaluaciónRiesgoCorrupR3!$F$11&gt;75,D19=1,E19=20),$E$25," ")))</f>
        <v>B</v>
      </c>
      <c r="AV19" s="29" t="str">
        <f>IF(AND(I19&gt;0,[1]EvaluaciónRiesgoCorrupR3!$F$11&gt;75,D19=2,E19=5),$E$26,IF(AND(I19&gt;0,[1]EvaluaciónRiesgoCorrupR3!$F$11&gt;75,D19=2,E19=10),$E$26,IF(AND(I19&gt;0,[1]EvaluaciónRiesgoCorrupR3!$F$11&gt;75,D19=2,E19=20),$E$26," ")))</f>
        <v xml:space="preserve"> </v>
      </c>
      <c r="AW19" s="29" t="str">
        <f>IF(AND(I19&gt;0,[1]EvaluaciónRiesgoCorrupR3!$F$11&gt;75,D19=3,E19=5),$E$27,IF(AND(I19&gt;0,[1]EvaluaciónRiesgoCorrupR3!$F$11&gt;75,D19=3,E19=10),$E$27,IF(AND(I19&gt;0,[1]EvaluaciónRiesgoCorrupR3!$F$11&gt;75,D19=3,E19=20),$E$27," ")))</f>
        <v xml:space="preserve"> </v>
      </c>
      <c r="AX19" s="29" t="str">
        <f>IF(AND(I19&gt;0,[1]EvaluaciónRiesgoCorrupR3!$F$11&gt;75,D19=4,E19=5),$E$28,IF(AND(I19&gt;0,[1]EvaluaciónRiesgoCorrupR3!$F$11&gt;75,D19=4,E19=10),$E$28,IF(AND(I19&gt;0,[1]EvaluaciónRiesgoCorrupR3!$F$11&gt;75,D19=4,E19=20),$E$28," ")))</f>
        <v xml:space="preserve"> </v>
      </c>
      <c r="AY19" s="29" t="str">
        <f>IF(AND(I19&gt;0,[1]EvaluaciónRiesgoCorrupR3!$F$11&gt;75,D19=5,E19=5),$E$29,IF(AND(I19&gt;0,[1]EvaluaciónRiesgoCorrupR3!$F$11&gt;75,D19=5,E19=10),$E$29,IF(AND(I19&gt;0,[1]EvaluaciónRiesgoCorrupR3!$F$11&gt;75,D19=5,E19=20),$E$29," ")))</f>
        <v xml:space="preserve"> </v>
      </c>
      <c r="BB19" s="29" t="str">
        <f>IF(AND(I19&gt;0,[1]EvaluaciónRiesgoCorrupR3!$F$11&gt;50,[1]EvaluaciónRiesgoCorrupR3!$F$11&lt;76,D19=1,E19=5),$E$25,IF(AND(I19&gt;0,[1]EvaluaciónRiesgoCorrupR3!$F$11&gt;50,[1]EvaluaciónRiesgoCorrupR3!$F$11&lt;76,D19=1,E19=10),$E$25,IF(AND(I19&gt;0,[1]EvaluaciónRiesgoCorrupR3!$F$11&gt;50,[1]EvaluaciónRiesgoCorrupR3!$F$11&lt;76,D19=1,E19=20),$F$25," ")))</f>
        <v xml:space="preserve"> </v>
      </c>
      <c r="BC19" s="29" t="str">
        <f>IF(AND(I19&gt;0,[1]EvaluaciónRiesgoCorrupR3!$F$11&gt;50,[1]EvaluaciónRiesgoCorrupR3!$F$11&lt;76,D19=2,E19=5),$E$26,IF(AND(I19&gt;0,[1]EvaluaciónRiesgoCorrupR3!$F$11&gt;50,[1]EvaluaciónRiesgoCorrupR3!$F$11&lt;76,D19=2,E19=10),$E$26,IF(AND(I19&gt;0,[1]EvaluaciónRiesgoCorrupR3!$F$11&gt;50,[1]EvaluaciónRiesgoCorrupR3!$F$11&lt;76,D19=2,E19=20),$F$26," ")))</f>
        <v xml:space="preserve"> </v>
      </c>
      <c r="BD19" s="29" t="str">
        <f>IF(AND(I19&gt;0,[1]EvaluaciónRiesgoCorrupR3!$F$11&gt;50,[1]EvaluaciónRiesgoCorrupR3!$F$11&lt;76,D19=3,E19=5),$E$27,IF(AND(I19&gt;0,[1]EvaluaciónRiesgoCorrupR3!$F$11&gt;50,[1]EvaluaciónRiesgoCorrupR3!$F$11&lt;76,D19=3,E19=10),$E$27,IF(AND(I19&gt;0,[1]EvaluaciónRiesgoCorrupR3!$F$11&gt;50,[1]EvaluaciónRiesgoCorrupR3!$F$11&lt;76,D19=3,E19=20),$F$27," ")))</f>
        <v xml:space="preserve"> </v>
      </c>
      <c r="BE19" s="29" t="str">
        <f>IF(AND(I19&gt;0,[1]EvaluaciónRiesgoCorrupR3!$F$11&gt;50,[1]EvaluaciónRiesgoCorrupR3!$F$11&lt;76,D19=4,E19=5),$E$28,IF(AND(I19&gt;0,[1]EvaluaciónRiesgoCorrupR3!$F$11&gt;50,[1]EvaluaciónRiesgoCorrupR3!$F$11&lt;76,D19=4,E19=10),$E$28,IF(AND(I19&gt;0,[1]EvaluaciónRiesgoCorrupR3!$F$11&gt;50,[1]EvaluaciónRiesgoCorrupR3!$F$11&lt;76,D19=4,E19=20),$F$28," ")))</f>
        <v xml:space="preserve"> </v>
      </c>
      <c r="BF19" s="29" t="str">
        <f>IF(AND(I19&gt;0,[1]EvaluaciónRiesgoCorrupR3!$F$11&gt;50,[1]EvaluaciónRiesgoCorrupR3!$F$11&lt;76,D19=5,E19=5),$E$29,IF(AND(I19&gt;0,[1]EvaluaciónRiesgoCorrupR3!$F$11&gt;50,[1]EvaluaciónRiesgoCorrupR3!$F$11&lt;76,D19=5,E19=10),$E$29,IF(AND(I19&gt;0,[1]EvaluaciónRiesgoCorrupR3!$F$11&gt;50,[1]EvaluaciónRiesgoCorrupR3!$F$11&lt;76,D19=5,E19=20),$F$29," ")))</f>
        <v xml:space="preserve"> </v>
      </c>
      <c r="BI19" s="29" t="str">
        <f>IF(AND(I19&gt;0,[1]EvaluaciónRiesgoCorrupR3!$F$11&lt;51,D19=1,E19=5),$E$25,IF(AND(I19&gt;0,[1]EvaluaciónRiesgoCorrupR3!$F$11&lt;51,D19=1,E19=10),$F$25,IF(AND(I19&gt;0,[1]EvaluaciónRiesgoCorrupR3!$F$11&lt;51,D19=1,E19=20),$G$25," ")))</f>
        <v xml:space="preserve"> </v>
      </c>
      <c r="BJ19" s="29" t="str">
        <f>IF(AND(I19&gt;0,[1]EvaluaciónRiesgoCorrupR3!$F$11&lt;51,D19=2,E19=5),$E$26,IF(AND(I19&gt;0,[1]EvaluaciónRiesgoCorrupR3!$F$11&lt;51,D19=2,E19=10),$F$26,IF(AND(I19&gt;0,[1]EvaluaciónRiesgoCorrupR3!$F$11&lt;51,D19=2,E19=20),$G$26," ")))</f>
        <v xml:space="preserve"> </v>
      </c>
      <c r="BK19" s="29" t="str">
        <f>IF(AND(I19&gt;0,[1]EvaluaciónRiesgoCorrupR3!$F$11&lt;51,D19=3,E19=5),$E$27,IF(AND(I19&gt;0,[1]EvaluaciónRiesgoCorrupR3!$F$11&lt;51,D19=3,E19=10),$F$27,IF(AND(I19&gt;0,[1]EvaluaciónRiesgoCorrupR3!$F$11&lt;51,D19=3,E19=20),$G$27," ")))</f>
        <v xml:space="preserve"> </v>
      </c>
      <c r="BL19" s="29" t="str">
        <f>IF(AND(I19&gt;0,[1]EvaluaciónRiesgoCorrupR3!$F$11&lt;51,D19=4,E19=5),$E$28,IF(AND(I19&gt;0,[1]EvaluaciónRiesgoCorrupR3!$F$11&lt;51,D19=4,E19=10),$F$28,IF(AND(I19&gt;0,[1]EvaluaciónRiesgoCorrupR3!$F$11&lt;51,D19=4,E19=20),$G$28," ")))</f>
        <v xml:space="preserve"> </v>
      </c>
      <c r="BM19" s="29" t="str">
        <f>IF(AND(I19&gt;0,[1]EvaluaciónRiesgoCorrupR3!$F$11&lt;51,D19=5,E19=5),$E$29,IF(AND(I19&gt;0,[1]EvaluaciónRiesgoCorrupR3!$F$11&lt;51,D19=5,E19=10),$F$29,IF(AND(I19&gt;0,[1]EvaluaciónRiesgoCorrupR3!$F$11&lt;51,D19=5,E19=20),$G$29," ")))</f>
        <v xml:space="preserve"> </v>
      </c>
    </row>
    <row r="20" spans="1:65" x14ac:dyDescent="0.25">
      <c r="A20" s="66"/>
      <c r="B20" s="22"/>
      <c r="C20" s="22"/>
    </row>
    <row r="21" spans="1:65" x14ac:dyDescent="0.25">
      <c r="A21" s="29"/>
      <c r="B21" s="31"/>
      <c r="C21" s="31"/>
    </row>
    <row r="22" spans="1:65" ht="15" thickBot="1" x14ac:dyDescent="0.3">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O15:O16"/>
    <mergeCell ref="P15:P16"/>
    <mergeCell ref="Q15:Q16"/>
    <mergeCell ref="D23:D24"/>
    <mergeCell ref="E23:G23"/>
    <mergeCell ref="K15:M15"/>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A6:C6"/>
    <mergeCell ref="D6:Q6"/>
    <mergeCell ref="A8:C8"/>
    <mergeCell ref="D8:Q8"/>
    <mergeCell ref="A10:C10"/>
    <mergeCell ref="D10:Q10"/>
    <mergeCell ref="A1:C4"/>
    <mergeCell ref="D1:O4"/>
    <mergeCell ref="P1:Q1"/>
    <mergeCell ref="P2:Q2"/>
    <mergeCell ref="P3:Q3"/>
    <mergeCell ref="P4:Q4"/>
  </mergeCells>
  <conditionalFormatting sqref="F17:F19 J17:J19">
    <cfRule type="containsText" dxfId="63" priority="1" operator="containsText" text="E">
      <formula>NOT(ISERROR(SEARCH("E",F17)))</formula>
    </cfRule>
    <cfRule type="containsText" dxfId="62" priority="2" operator="containsText" text="M">
      <formula>NOT(ISERROR(SEARCH("M",F17)))</formula>
    </cfRule>
    <cfRule type="containsText" dxfId="61" priority="3" operator="containsText" text="A">
      <formula>NOT(ISERROR(SEARCH("A",F17)))</formula>
    </cfRule>
    <cfRule type="containsText" dxfId="60"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2"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3"/>
  <sheetViews>
    <sheetView showGridLines="0" view="pageBreakPreview" zoomScale="30" zoomScaleNormal="60" zoomScaleSheetLayoutView="3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21.7109375" style="2" customWidth="1"/>
    <col min="11" max="11" width="19.85546875" style="2" customWidth="1"/>
    <col min="12" max="12" width="35.5703125" style="2" customWidth="1"/>
    <col min="13" max="13" width="17"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[11]IdentRiesgo!B2</f>
        <v>Gestión Financiera - Presupuesto</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[11]IdentRiesgo!B3</f>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64</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1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18" t="s">
        <v>28</v>
      </c>
      <c r="E16" s="18" t="s">
        <v>12</v>
      </c>
      <c r="F16" s="18" t="s">
        <v>29</v>
      </c>
      <c r="G16" s="107"/>
      <c r="H16" s="18" t="s">
        <v>28</v>
      </c>
      <c r="I16" s="18" t="s">
        <v>12</v>
      </c>
      <c r="J16" s="20" t="s">
        <v>29</v>
      </c>
      <c r="K16" s="18" t="s">
        <v>30</v>
      </c>
      <c r="L16" s="18" t="s">
        <v>26</v>
      </c>
      <c r="M16" s="18" t="s">
        <v>31</v>
      </c>
      <c r="N16" s="110"/>
      <c r="O16" s="110"/>
      <c r="P16" s="110"/>
      <c r="Q16" s="110"/>
    </row>
    <row r="17" spans="1:65" ht="320.25" customHeight="1" x14ac:dyDescent="0.25">
      <c r="A17" s="22" t="str">
        <f>[11]IdentRiesgo!A6</f>
        <v>1. Desconocimiento de principios básicos en la ejecución del presupuesto. 
2. Falta de valores éticos y morales en los servidores públicos que toman decisiones frente al manejo presupuestal.
3. Informacion inconsistente al solicitar los Certificados de Disponibilidad.</v>
      </c>
      <c r="B17" s="22" t="str">
        <f>[11]IdentRiesgo!B6</f>
        <v>Beneficio a terceros en la expedicion de Certificados Presupuestales y Registros Presupuestales.</v>
      </c>
      <c r="C17" s="22" t="str">
        <f>[11]IdentRiesgo!D6</f>
        <v>1. Inconsistencias en la informacion suministrada por el Grupo de presupuesto a los diferentes entes de control.
2. Sanciones disciplinarias por parte de los entes de control.
3. Detrimento patrimonial.</v>
      </c>
      <c r="D17" s="23">
        <f>IF([11]AnálisisRiesgo!B9&gt;0,5,IF([11]AnálisisRiesgo!C9&gt;0,4,IF([11]AnálisisRiesgo!D9&gt;0,3,IF([11]AnálisisRiesgo!E9&gt;0,2,IF([11]AnálisisRiesgo!F9&gt;0,1,"")))))</f>
        <v>1</v>
      </c>
      <c r="E17" s="23">
        <f>IF([11]AnálisisRiesgo!G9&gt;0,5,IF([11]AnálisisRiesgo!H9&gt;0,4,IF([11]AnálisisRiesgo!I9&gt;0,3,IF([11]AnálisisRiesgo!J9&gt;0,2,IF([11]AnálisisRiesgo!K9&gt;0,1,IF([11]AnálisisRiesgo!L9&gt;0,20,IF([11]AnálisisRiesgo!M9&gt;0,10,IF([11]AnálisisRiesgo!N9&gt;0,5,""))))))))</f>
        <v>20</v>
      </c>
      <c r="F17" s="23" t="str">
        <f t="shared" ref="F17:F18" si="0">CONCATENATE(S17,T17,U17,V17,W17)</f>
        <v xml:space="preserve">M    </v>
      </c>
      <c r="G17" s="24" t="s">
        <v>111</v>
      </c>
      <c r="H17" s="49"/>
      <c r="I17" s="26" t="s">
        <v>32</v>
      </c>
      <c r="J17" s="23" t="str">
        <f t="shared" ref="J17:J18" si="1">CONCATENATE(Z17,AA17,AB17,AC17,AD17,AF17,AG17,AH17,AI17,AJ17,AM17,AN17,AO17,AP17,AQ17,AU17,AV17,AW17,AX17,AY17,BB17,BC17,BD17,BE17,BF17,BI17,BJ17,BK17,BL17,BM17)</f>
        <v xml:space="preserve">               B              </v>
      </c>
      <c r="K17" s="23" t="s">
        <v>112</v>
      </c>
      <c r="L17" s="23" t="s">
        <v>113</v>
      </c>
      <c r="M17" s="23" t="s">
        <v>114</v>
      </c>
      <c r="N17" s="27"/>
      <c r="O17" s="27"/>
      <c r="P17" s="27"/>
      <c r="Q17" s="29"/>
      <c r="S17" s="29" t="str">
        <f>IF(AND(D17=1,E17=5),$E$24,IF(AND(D17=1,E17=10),$F$24,IF(AND(D17=1,E17=20),$G$24," ")))</f>
        <v>M</v>
      </c>
      <c r="T17" s="29" t="str">
        <f>IF(AND(D17=2,E17=5),$E$25,IF(AND(D17=2,E17=10),$F$25,IF(AND(D17=2,E17=20),$G$25," ")))</f>
        <v xml:space="preserve"> </v>
      </c>
      <c r="U17" s="29" t="str">
        <f>IF(AND(D17=3,E17=5),$E$26,IF(AND(D17=3,E17=10),$F$26,IF(AND(D17=3,E17=20),$G$26," ")))</f>
        <v xml:space="preserve"> </v>
      </c>
      <c r="V17" s="29" t="str">
        <f>IF(AND(D17=4,E17=5),$E$27,IF(AND(D17=4,E17=10),$F$27,IF(AND(D17=4,E17=20),$G$27," ")))</f>
        <v xml:space="preserve"> </v>
      </c>
      <c r="W17" s="29" t="str">
        <f>IF(AND(D17=5,E17=5),$E$28,IF(AND(D17=5,E17=10),$F$28,IF(AND(D17=5,E17=20),$G$28," ")))</f>
        <v xml:space="preserve"> </v>
      </c>
      <c r="Z17" s="29" t="str">
        <f>IF(AND(H17&gt;0,[11]EvaluaciónRiesgoCorrup!$F$11&gt;75,D17=1,E17=5),$E$24,IF(AND(H17&gt;0,[11]EvaluaciónRiesgoCorrup!$F$11&gt;75,D17=1,E17=10),$F$24,IF(AND(H17&gt;0,[11]EvaluaciónRiesgoCorrup!$F$11&gt;75,D17=1,E17=20),$G$24," ")))</f>
        <v xml:space="preserve"> </v>
      </c>
      <c r="AA17" s="29" t="str">
        <f>IF(AND(H17&gt;0,[11]EvaluaciónRiesgoCorrup!$F$11&gt;75,D17=2,E17=5),$E$24,IF(AND(H17&gt;0,[11]EvaluaciónRiesgoCorrup!$F$11&gt;75,D17=2,E17=10),$F$24,IF(AND(H17&gt;0,[11]EvaluaciónRiesgoCorrup!$F$11&gt;75,D17=2,E17=20),$G$24," ")))</f>
        <v xml:space="preserve"> </v>
      </c>
      <c r="AB17" s="29" t="str">
        <f>IF(AND(H17&gt;0,[11]EvaluaciónRiesgoCorrup!$F$11&gt;75,D17=3,E17=5),$E$24,IF(AND(H17&gt;0,[11]EvaluaciónRiesgoCorrup!$F$11&gt;75,D17=3,E17=10),$F$24,IF(AND(H17&gt;0,[11]EvaluaciónRiesgoCorrup!$F$11&gt;75,D17=3,E17=20),$G$24," ")))</f>
        <v xml:space="preserve"> </v>
      </c>
      <c r="AC17" s="29" t="str">
        <f>IF(AND(H17&gt;0,[11]EvaluaciónRiesgoCorrup!$F$11&gt;75,D17=4,E17=5),$E$25,IF(AND(H17&gt;0,[11]EvaluaciónRiesgoCorrup!$F$11&gt;75,D17=4,E17=10),$F$25,IF(AND(H17&gt;0,[11]EvaluaciónRiesgoCorrup!$F$11&gt;75,D17=4,E17=20),$G$25," ")))</f>
        <v xml:space="preserve"> </v>
      </c>
      <c r="AD17" s="29" t="str">
        <f>IF(AND(H17&gt;0,[11]EvaluaciónRiesgoCorrup!$F$11&gt;75,D17=5,E17=5),$E$26,IF(AND(H17&gt;0,[11]EvaluaciónRiesgoCorrup!$F$11&gt;75,D17=5,E17=10),$F$26,IF(AND(H17&gt;0,[11]EvaluaciónRiesgoCorrup!$F$11&gt;75,D17=5,E17=20),$G$26," ")))</f>
        <v xml:space="preserve"> </v>
      </c>
      <c r="AF17" s="29" t="str">
        <f>IF(AND(H17&gt;0,[11]EvaluaciónRiesgoCorrup!$F$11&gt;50,[11]EvaluaciónRiesgoCorrup!$F$11&lt;76,D17=1,E17=5),$E$24,IF(AND(H17&gt;0,[11]EvaluaciónRiesgoCorrup!$F$11&gt;50,[11]EvaluaciónRiesgoCorrup!$F$11&lt;76,D17=1,E17=10),$F$24,IF(AND(H17&gt;0,[11]EvaluaciónRiesgoCorrup!$F$11&gt;50,[11]EvaluaciónRiesgoCorrup!$F$11&lt;76,D17=1,E17=20),$G$24," ")))</f>
        <v xml:space="preserve"> </v>
      </c>
      <c r="AG17" s="29" t="str">
        <f>IF(AND(H17&gt;0,[11]EvaluaciónRiesgoCorrup!$F$11&gt;50,[11]EvaluaciónRiesgoCorrup!$F$11&lt;76,D17=2,E17=5),$E$24,IF(AND(H17&gt;0,[11]EvaluaciónRiesgoCorrup!$F$11&gt;50,[11]EvaluaciónRiesgoCorrup!$F$11&lt;76,D17=2,E17=10),$F$24,IF(AND(H17&gt;0,[11]EvaluaciónRiesgoCorrup!$F$11&gt;50,[11]EvaluaciónRiesgoCorrup!$F$11&lt;76,D17=2,E17=20),$G$24," ")))</f>
        <v xml:space="preserve"> </v>
      </c>
      <c r="AH17" s="29" t="str">
        <f>IF(AND(H17&gt;0,[11]EvaluaciónRiesgoCorrup!$F$11&gt;50,[11]EvaluaciónRiesgoCorrup!$F$11&lt;76,D17=3,E17=5),$E$25,IF(AND(H17&gt;0,[11]EvaluaciónRiesgoCorrup!$F$11&gt;50,[11]EvaluaciónRiesgoCorrup!$F$11&lt;76,D17=3,E17=10),$F$25,IF(AND(H17&gt;0,[11]EvaluaciónRiesgoCorrup!$F$11&gt;50,[11]EvaluaciónRiesgoCorrup!$F$11&lt;76,D17=3,E17=20),$G$25," ")))</f>
        <v xml:space="preserve"> </v>
      </c>
      <c r="AI17" s="29" t="str">
        <f>IF(AND(H17&gt;0,[11]EvaluaciónRiesgoCorrup!$F$11&gt;50,[11]EvaluaciónRiesgoCorrup!$F$11&lt;76,D17=4,E17=5),$E$26,IF(AND(H17&gt;0,[11]EvaluaciónRiesgoCorrup!$F$11&gt;50,[11]EvaluaciónRiesgoCorrup!$F$11&lt;76,D17=4,E17=10),$F$26,IF(AND(H17&gt;0,[11]EvaluaciónRiesgoCorrup!$F$11&gt;50,[11]EvaluaciónRiesgoCorrup!$F$11&lt;76,D17=4,E17=20),$G$26," ")))</f>
        <v xml:space="preserve"> </v>
      </c>
      <c r="AJ17" s="29" t="str">
        <f>IF(AND(H17&gt;0,[11]EvaluaciónRiesgoCorrup!$F$11&gt;50,[11]EvaluaciónRiesgoCorrup!$F$11&lt;76,D17=5,E17=5),$E$27,IF(AND(H17&gt;0,[11]EvaluaciónRiesgoCorrup!$F$11&gt;50,[11]EvaluaciónRiesgoCorrup!$F$11&lt;76,D17=5,E17=10),$F$27,IF(AND(H17&gt;0,[11]EvaluaciónRiesgoCorrup!$F$11&gt;50,[11]EvaluaciónRiesgoCorrup!$F$11&lt;76,D17=5,E17=20),$G$27," ")))</f>
        <v xml:space="preserve"> </v>
      </c>
      <c r="AM17" s="29" t="str">
        <f>IF(AND(H17&gt;0,[11]EvaluaciónRiesgoCorrup!$F$11&lt;51,D17=1,E17=5),$E$24,IF(AND(H17&gt;0,[11]EvaluaciónRiesgoCorrup!$F$11&lt;51,D17=1,E17=10),$F$24,IF(AND(H17&gt;0,[11]EvaluaciónRiesgoCorrup!$F$11&lt;51,D17=1,E17=20),G$24," ")))</f>
        <v xml:space="preserve"> </v>
      </c>
      <c r="AN17" s="29" t="str">
        <f>IF(AND(H17&gt;0,[11]EvaluaciónRiesgoCorrup!$F$11&lt;51,D17=2,E17=5),$E$25,IF(AND(H17&gt;0,[11]EvaluaciónRiesgoCorrup!$F$11&lt;51,D17=2,E17=10),$F$25,IF(AND(H17&gt;0,[11]EvaluaciónRiesgoCorrup!$F$11&lt;51,D17=2,E17=20),G$25," ")))</f>
        <v xml:space="preserve"> </v>
      </c>
      <c r="AO17" s="29" t="str">
        <f>IF(AND(H17&gt;0,[11]EvaluaciónRiesgoCorrup!$F$11&lt;51,D17=3,E17=5),$E$26,IF(AND(H17&gt;0,[11]EvaluaciónRiesgoCorrup!$F$11&lt;51,D17=3,E17=10),$F$26,IF(AND(H17&gt;0,[11]EvaluaciónRiesgoCorrup!$F$11&lt;51,D17=3,E17=20),G$26," ")))</f>
        <v xml:space="preserve"> </v>
      </c>
      <c r="AP17" s="29" t="str">
        <f>IF(AND(H17&gt;0,[11]EvaluaciónRiesgoCorrup!$F$11&lt;51,D17=4,E17=5),$E$27,IF(AND(H17&gt;0,[11]EvaluaciónRiesgoCorrup!$F$11&lt;51,D17=4,E17=10),$F$27,IF(AND(H17&gt;0,[11]EvaluaciónRiesgoCorrup!$F$11&lt;51,D17=4,E17=20),G$27," ")))</f>
        <v xml:space="preserve"> </v>
      </c>
      <c r="AQ17" s="29" t="str">
        <f>IF(AND(H17&gt;0,[11]EvaluaciónRiesgoCorrup!$F$11&lt;51,D17=5,E17=5),$E$28,IF(AND(H17&gt;0,[11]EvaluaciónRiesgoCorrup!$F$11&lt;51,D17=5,E17=10),$F$28,IF(AND(H17&gt;0,[11]EvaluaciónRiesgoCorrup!$F$11&lt;51,D17=5,E17=20),G$28," ")))</f>
        <v xml:space="preserve"> </v>
      </c>
      <c r="AU17" s="29" t="str">
        <f>IF(AND(I17&gt;0,[11]EvaluaciónRiesgoCorrup!$F$11&gt;75,D17=1,E17=5),$E$24,IF(AND(I17&gt;0,[11]EvaluaciónRiesgoCorrup!$F$11&gt;75,D17=1,E17=10),$E$24,IF(AND(I17&gt;0,[11]EvaluaciónRiesgoCorrup!$F$11&gt;75,D17=1,E17=20),$E$24," ")))</f>
        <v>B</v>
      </c>
      <c r="AV17" s="29" t="str">
        <f>IF(AND(I17&gt;0,[11]EvaluaciónRiesgoCorrup!$F$11&gt;75,D17=2,E17=5),$E$25,IF(AND(I17&gt;0,[11]EvaluaciónRiesgoCorrup!$F$11&gt;75,D17=2,E17=10),$E$25,IF(AND(I17&gt;0,[11]EvaluaciónRiesgoCorrup!$F$11&gt;75,D17=2,E17=20),$E$25," ")))</f>
        <v xml:space="preserve"> </v>
      </c>
      <c r="AW17" s="29" t="str">
        <f>IF(AND(I17&gt;0,[11]EvaluaciónRiesgoCorrup!$F$11&gt;75,D17=3,E17=5),$E$26,IF(AND(I17&gt;0,[11]EvaluaciónRiesgoCorrup!$F$11&gt;75,D17=3,E17=10),$E$26,IF(AND(I17&gt;0,[11]EvaluaciónRiesgoCorrup!$F$11&gt;75,D17=3,E17=20),$E$26," ")))</f>
        <v xml:space="preserve"> </v>
      </c>
      <c r="AX17" s="29" t="str">
        <f>IF(AND(I17&gt;0,[11]EvaluaciónRiesgoCorrup!$F$11&gt;75,D17=4,E17=5),$E$27,IF(AND(I17&gt;0,[11]EvaluaciónRiesgoCorrup!$F$11&gt;75,D17=4,E17=10),$E$27,IF(AND(I17&gt;0,[11]EvaluaciónRiesgoCorrup!$F$11&gt;75,D17=4,E17=20),$E$27," ")))</f>
        <v xml:space="preserve"> </v>
      </c>
      <c r="AY17" s="29" t="str">
        <f>IF(AND(I17&gt;0,[11]EvaluaciónRiesgoCorrup!$F$11&gt;75,D17=5,E17=5),$E$28,IF(AND(I17&gt;0,[11]EvaluaciónRiesgoCorrup!$F$11&gt;75,D17=5,E17=10),$E$28,IF(AND(I17&gt;0,[11]EvaluaciónRiesgoCorrup!$F$11&gt;75,D17=5,E17=20),$E$28," ")))</f>
        <v xml:space="preserve"> </v>
      </c>
      <c r="BB17" s="29" t="str">
        <f>IF(AND(I17&gt;0,[11]EvaluaciónRiesgoCorrup!$F$11&gt;50,[11]EvaluaciónRiesgoCorrup!$F$11&lt;76,D17=1,E17=5),$E$24,IF(AND(I17&gt;0,[11]EvaluaciónRiesgoCorrup!$F$11&gt;50,[11]EvaluaciónRiesgoCorrup!$F$11&lt;76,D17=1,E17=10),$E$24,IF(AND(I17&gt;0,[11]EvaluaciónRiesgoCorrup!$F$11&gt;50,[11]EvaluaciónRiesgoCorrup!$F$11&lt;76,D17=1,E17=20),$F$24," ")))</f>
        <v xml:space="preserve"> </v>
      </c>
      <c r="BC17" s="29" t="str">
        <f>IF(AND(I17&gt;0,[11]EvaluaciónRiesgoCorrup!$F$11&gt;50,[11]EvaluaciónRiesgoCorrup!$F$11&lt;76,D17=2,E17=5),$E$25,IF(AND(I17&gt;0,[11]EvaluaciónRiesgoCorrup!$F$11&gt;50,[11]EvaluaciónRiesgoCorrup!$F$11&lt;76,D17=2,E17=10),$E$25,IF(AND(I17&gt;0,[11]EvaluaciónRiesgoCorrup!$F$11&gt;50,[11]EvaluaciónRiesgoCorrup!$F$11&lt;76,D17=2,E17=20),$F$25," ")))</f>
        <v xml:space="preserve"> </v>
      </c>
      <c r="BD17" s="29" t="str">
        <f>IF(AND(I17&gt;0,[11]EvaluaciónRiesgoCorrup!$F$11&gt;50,[11]EvaluaciónRiesgoCorrup!$F$11&lt;76,D17=3,E17=5),$E$26,IF(AND(I17&gt;0,[11]EvaluaciónRiesgoCorrup!$F$11&gt;50,[11]EvaluaciónRiesgoCorrup!$F$11&lt;76,D17=3,E17=10),$E$26,IF(AND(I17&gt;0,[11]EvaluaciónRiesgoCorrup!$F$11&gt;50,[11]EvaluaciónRiesgoCorrup!$F$11&lt;76,D17=3,E17=20),$F$26," ")))</f>
        <v xml:space="preserve"> </v>
      </c>
      <c r="BE17" s="29" t="str">
        <f>IF(AND(I17&gt;0,[11]EvaluaciónRiesgoCorrup!$F$11&gt;50,[11]EvaluaciónRiesgoCorrup!$F$11&lt;76,D17=4,E17=5),$E$27,IF(AND(I17&gt;0,[11]EvaluaciónRiesgoCorrup!$F$11&gt;50,[11]EvaluaciónRiesgoCorrup!$F$11&lt;76,D17=4,E17=10),$E$27,IF(AND(I17&gt;0,[11]EvaluaciónRiesgoCorrup!$F$11&gt;50,[11]EvaluaciónRiesgoCorrup!$F$11&lt;76,D17=4,E17=20),$F$27," ")))</f>
        <v xml:space="preserve"> </v>
      </c>
      <c r="BF17" s="29" t="str">
        <f>IF(AND(I17&gt;0,[11]EvaluaciónRiesgoCorrup!$F$11&gt;50,[11]EvaluaciónRiesgoCorrup!$F$11&lt;76,D17=5,E17=5),$E$28,IF(AND(I17&gt;0,[11]EvaluaciónRiesgoCorrup!$F$11&gt;50,[11]EvaluaciónRiesgoCorrup!$F$11&lt;76,D17=5,E17=10),$E$28,IF(AND(I17&gt;0,[11]EvaluaciónRiesgoCorrup!$F$11&gt;50,[11]EvaluaciónRiesgoCorrup!$F$11&lt;76,D17=5,E17=20),$F$28," ")))</f>
        <v xml:space="preserve"> </v>
      </c>
      <c r="BI17" s="29" t="str">
        <f>IF(AND(I17&gt;0,[11]EvaluaciónRiesgoCorrup!$F$11&lt;51,D17=1,E17=5),$E$24,IF(AND(I17&gt;0,[11]EvaluaciónRiesgoCorrup!$F$11&lt;51,D17=1,E17=10),$F$24,IF(AND(I17&gt;0,[11]EvaluaciónRiesgoCorrup!$F$11&lt;51,D17=1,E17=20),$G$24," ")))</f>
        <v xml:space="preserve"> </v>
      </c>
      <c r="BJ17" s="29" t="str">
        <f>IF(AND(I17&gt;0,[11]EvaluaciónRiesgoCorrup!$F$11&lt;51,D17=2,E17=5),$E$25,IF(AND(I17&gt;0,[11]EvaluaciónRiesgoCorrup!$F$11&lt;51,D17=2,E17=10),$F$25,IF(AND(I17&gt;0,[11]EvaluaciónRiesgoCorrup!$F$11&lt;51,D17=2,E17=20),$G$25," ")))</f>
        <v xml:space="preserve"> </v>
      </c>
      <c r="BK17" s="29" t="str">
        <f>IF(AND(I17&gt;0,[11]EvaluaciónRiesgoCorrup!$F$11&lt;51,D17=3,E17=5),$E$26,IF(AND(I17&gt;0,[11]EvaluaciónRiesgoCorrup!$F$11&lt;51,D17=3,E17=10),$F$26,IF(AND(I17&gt;0,[11]EvaluaciónRiesgoCorrup!$F$11&lt;51,D17=3,E17=20),$G$26," ")))</f>
        <v xml:space="preserve"> </v>
      </c>
      <c r="BL17" s="29" t="str">
        <f>IF(AND(I17&gt;0,[11]EvaluaciónRiesgoCorrup!$F$11&lt;51,D17=4,E17=5),$E$27,IF(AND(I17&gt;0,[11]EvaluaciónRiesgoCorrup!$F$11&lt;51,D17=4,E17=10),$F$27,IF(AND(I17&gt;0,[11]EvaluaciónRiesgoCorrup!$F$11&lt;51,D17=4,E17=20),$G$27," ")))</f>
        <v xml:space="preserve"> </v>
      </c>
      <c r="BM17" s="29" t="str">
        <f>IF(AND(I17&gt;0,[11]EvaluaciónRiesgoCorrup!$F$11&lt;51,D17=5,E17=5),$E$28,IF(AND(I17&gt;0,[11]EvaluaciónRiesgoCorrup!$F$11&lt;51,D17=5,E17=10),$F$28,IF(AND(I17&gt;0,[11]EvaluaciónRiesgoCorrup!$F$11&lt;51,D17=5,E17=20),$G$28," ")))</f>
        <v xml:space="preserve"> </v>
      </c>
    </row>
    <row r="18" spans="1:65" ht="153.75" customHeight="1" x14ac:dyDescent="0.3">
      <c r="A18" s="32">
        <f>[11]IdentRiesgo!A7</f>
        <v>0</v>
      </c>
      <c r="B18" s="22">
        <f>[11]IdentRiesgo!B7</f>
        <v>0</v>
      </c>
      <c r="C18" s="22">
        <f>[11]IdentRiesgo!D7</f>
        <v>0</v>
      </c>
      <c r="D18" s="23" t="str">
        <f>IF([11]AnálisisRiesgo!B10&gt;0,5,IF([11]AnálisisRiesgo!C10&gt;0,4,IF([11]AnálisisRiesgo!D10&gt;0,3,IF([11]AnálisisRiesgo!E10&gt;0,2,IF([11]AnálisisRiesgo!F10&gt;0,1,"")))))</f>
        <v/>
      </c>
      <c r="E18" s="23" t="str">
        <f>IF([11]AnálisisRiesgo!G10&gt;0,5,IF([11]AnálisisRiesgo!H10&gt;0,4,IF([11]AnálisisRiesgo!I10&gt;0,3,IF([11]AnálisisRiesgo!J10&gt;0,2,IF([11]AnálisisRiesgo!K10&gt;0,1,IF([11]AnálisisRiesgo!L10&gt;0,20,IF([11]AnálisisRiesgo!M10&gt;0,10,IF([11]AnálisisRiesgo!N10&gt;0,5,""))))))))</f>
        <v/>
      </c>
      <c r="F18" s="23" t="str">
        <f t="shared" si="0"/>
        <v xml:space="preserve">     </v>
      </c>
      <c r="G18" s="24"/>
      <c r="H18" s="49"/>
      <c r="I18" s="26"/>
      <c r="J18" s="23" t="str">
        <f t="shared" si="1"/>
        <v xml:space="preserve">                              </v>
      </c>
      <c r="K18" s="23"/>
      <c r="L18" s="23"/>
      <c r="M18" s="23"/>
      <c r="N18" s="27"/>
      <c r="O18" s="27"/>
      <c r="P18" s="27"/>
      <c r="Q18" s="29"/>
      <c r="S18" s="29" t="str">
        <f>IF(AND(D18=1,E18=5),$E$24,IF(AND(D18=1,E18=10),$F$24,IF(AND(D18=1,E18=20),$G$24," ")))</f>
        <v xml:space="preserve"> </v>
      </c>
      <c r="T18" s="29" t="str">
        <f>IF(AND(D18=2,E18=5),$E$25,IF(AND(D18=2,E18=10),$F$25,IF(AND(D18=2,E18=20),$G$25," ")))</f>
        <v xml:space="preserve"> </v>
      </c>
      <c r="U18" s="29" t="str">
        <f>IF(AND(D18=3,E18=5),$E$26,IF(AND(D18=3,E18=10),$F$26,IF(AND(D18=3,E18=20),$G$26," ")))</f>
        <v xml:space="preserve"> </v>
      </c>
      <c r="V18" s="29" t="str">
        <f>IF(AND(D18=4,E18=5),$E$27,IF(AND(D18=4,E18=10),$F$27,IF(AND(D18=4,E18=20),$G$27," ")))</f>
        <v xml:space="preserve"> </v>
      </c>
      <c r="W18" s="29" t="str">
        <f>IF(AND(D18=5,E18=5),$E$28,IF(AND(D18=5,E18=10),$F$28,IF(AND(D18=5,E18=20),$G$28," ")))</f>
        <v xml:space="preserve"> </v>
      </c>
      <c r="Z18" s="29" t="str">
        <f>IF(AND(H18&gt;0,[11]EvaluaciónRiesgoCorrup!$F$11&gt;75,D18=1,E18=5),$E$24,IF(AND(H18&gt;0,[11]EvaluaciónRiesgoCorrup!$F$11&gt;75,D18=1,E18=10),$F$24,IF(AND(H18&gt;0,[11]EvaluaciónRiesgoCorrup!$F$11&gt;75,D18=1,E18=20),$G$24," ")))</f>
        <v xml:space="preserve"> </v>
      </c>
      <c r="AA18" s="29" t="str">
        <f>IF(AND(H18&gt;0,[11]EvaluaciónRiesgoCorrup!$F$11&gt;75,D18=2,E18=5),$E$24,IF(AND(H18&gt;0,[11]EvaluaciónRiesgoCorrup!$F$11&gt;75,D18=2,E18=10),$F$24,IF(AND(H18&gt;0,[11]EvaluaciónRiesgoCorrup!$F$11&gt;75,D18=2,E18=20),$G$24," ")))</f>
        <v xml:space="preserve"> </v>
      </c>
      <c r="AB18" s="29" t="str">
        <f>IF(AND(H18&gt;0,[11]EvaluaciónRiesgoCorrup!$F$11&gt;75,D18=3,E18=5),$E$24,IF(AND(H18&gt;0,[11]EvaluaciónRiesgoCorrup!$F$11&gt;75,D18=3,E18=10),$F$24,IF(AND(H18&gt;0,[11]EvaluaciónRiesgoCorrup!$F$11&gt;75,D18=3,E18=20),$G$24," ")))</f>
        <v xml:space="preserve"> </v>
      </c>
      <c r="AC18" s="29" t="str">
        <f>IF(AND(H18&gt;0,[11]EvaluaciónRiesgoCorrup!$F$11&gt;75,D18=4,E18=5),$E$25,IF(AND(H18&gt;0,[11]EvaluaciónRiesgoCorrup!$F$11&gt;75,D18=4,E18=10),$F$25,IF(AND(H18&gt;0,[11]EvaluaciónRiesgoCorrup!$F$11&gt;75,D18=4,E18=20),$G$25," ")))</f>
        <v xml:space="preserve"> </v>
      </c>
      <c r="AD18" s="29" t="str">
        <f>IF(AND(H18&gt;0,[11]EvaluaciónRiesgoCorrup!$F$11&gt;75,D18=5,E18=5),$E$26,IF(AND(H18&gt;0,[11]EvaluaciónRiesgoCorrup!$F$11&gt;75,D18=5,E18=10),$F$26,IF(AND(H18&gt;0,[11]EvaluaciónRiesgoCorrup!$F$11&gt;75,D18=5,E18=20),$G$26," ")))</f>
        <v xml:space="preserve"> </v>
      </c>
      <c r="AF18" s="29" t="str">
        <f>IF(AND(H18&gt;0,[11]EvaluaciónRiesgoCorrup!$F$11&gt;50,[11]EvaluaciónRiesgoCorrup!$F$11&lt;76,D18=1,E18=5),$E$24,IF(AND(H18&gt;0,[11]EvaluaciónRiesgoCorrup!$F$11&gt;50,[11]EvaluaciónRiesgoCorrup!$F$11&lt;76,D18=1,E18=10),$F$24,IF(AND(H18&gt;0,[11]EvaluaciónRiesgoCorrup!$F$11&gt;50,[11]EvaluaciónRiesgoCorrup!$F$11&lt;76,D18=1,E18=20),$G$24," ")))</f>
        <v xml:space="preserve"> </v>
      </c>
      <c r="AG18" s="29" t="str">
        <f>IF(AND(H18&gt;0,[11]EvaluaciónRiesgoCorrup!$F$11&gt;50,[11]EvaluaciónRiesgoCorrup!$F$11&lt;76,D18=2,E18=5),$E$24,IF(AND(H18&gt;0,[11]EvaluaciónRiesgoCorrup!$F$11&gt;50,[11]EvaluaciónRiesgoCorrup!$F$11&lt;76,D18=2,E18=10),$F$24,IF(AND(H18&gt;0,[11]EvaluaciónRiesgoCorrup!$F$11&gt;50,[11]EvaluaciónRiesgoCorrup!$F$11&lt;76,D18=2,E18=20),$G$24," ")))</f>
        <v xml:space="preserve"> </v>
      </c>
      <c r="AH18" s="29" t="str">
        <f>IF(AND(H18&gt;0,[11]EvaluaciónRiesgoCorrup!$F$11&gt;50,[11]EvaluaciónRiesgoCorrup!$F$11&lt;76,D18=3,E18=5),$E$25,IF(AND(H18&gt;0,[11]EvaluaciónRiesgoCorrup!$F$11&gt;50,[11]EvaluaciónRiesgoCorrup!$F$11&lt;76,D18=3,E18=10),$F$25,IF(AND(H18&gt;0,[11]EvaluaciónRiesgoCorrup!$F$11&gt;50,[11]EvaluaciónRiesgoCorrup!$F$11&lt;76,D18=3,E18=20),$G$25," ")))</f>
        <v xml:space="preserve"> </v>
      </c>
      <c r="AI18" s="29" t="str">
        <f>IF(AND(H18&gt;0,[11]EvaluaciónRiesgoCorrup!$F$11&gt;50,[11]EvaluaciónRiesgoCorrup!$F$11&lt;76,D18=4,E18=5),$E$26,IF(AND(H18&gt;0,[11]EvaluaciónRiesgoCorrup!$F$11&gt;50,[11]EvaluaciónRiesgoCorrup!$F$11&lt;76,D18=4,E18=10),$F$26,IF(AND(H18&gt;0,[11]EvaluaciónRiesgoCorrup!$F$11&gt;50,[11]EvaluaciónRiesgoCorrup!$F$11&lt;76,D18=4,E18=20),$G$26," ")))</f>
        <v xml:space="preserve"> </v>
      </c>
      <c r="AJ18" s="29" t="str">
        <f>IF(AND(H18&gt;0,[11]EvaluaciónRiesgoCorrup!$F$11&gt;50,[11]EvaluaciónRiesgoCorrup!$F$11&lt;76,D18=5,E18=5),$E$27,IF(AND(H18&gt;0,[11]EvaluaciónRiesgoCorrup!$F$11&gt;50,[11]EvaluaciónRiesgoCorrup!$F$11&lt;76,D18=5,E18=10),$F$27,IF(AND(H18&gt;0,[11]EvaluaciónRiesgoCorrup!$F$11&gt;50,[11]EvaluaciónRiesgoCorrup!$F$11&lt;76,D18=5,E18=20),$G$27," ")))</f>
        <v xml:space="preserve"> </v>
      </c>
      <c r="AM18" s="29" t="str">
        <f>IF(AND(H18&gt;0,[11]EvaluaciónRiesgoCorrup!$F$11&lt;51,D18=1,E18=5),$E$24,IF(AND(H18&gt;0,[11]EvaluaciónRiesgoCorrup!$F$11&lt;51,D18=1,E18=10),$F$24,IF(AND(H18&gt;0,[11]EvaluaciónRiesgoCorrup!$F$11&lt;51,D18=1,E18=20),G$24," ")))</f>
        <v xml:space="preserve"> </v>
      </c>
      <c r="AN18" s="29" t="str">
        <f>IF(AND(H18&gt;0,[11]EvaluaciónRiesgoCorrup!$F$11&lt;51,D18=2,E18=5),$E$25,IF(AND(H18&gt;0,[11]EvaluaciónRiesgoCorrup!$F$11&lt;51,D18=2,E18=10),$F$25,IF(AND(H18&gt;0,[11]EvaluaciónRiesgoCorrup!$F$11&lt;51,D18=2,E18=20),G$25," ")))</f>
        <v xml:space="preserve"> </v>
      </c>
      <c r="AO18" s="29" t="str">
        <f>IF(AND(H18&gt;0,[11]EvaluaciónRiesgoCorrup!$F$11&lt;51,D18=3,E18=5),$E$26,IF(AND(H18&gt;0,[11]EvaluaciónRiesgoCorrup!$F$11&lt;51,D18=3,E18=10),$F$26,IF(AND(H18&gt;0,[11]EvaluaciónRiesgoCorrup!$F$11&lt;51,D18=3,E18=20),G$26," ")))</f>
        <v xml:space="preserve"> </v>
      </c>
      <c r="AP18" s="29" t="str">
        <f>IF(AND(H18&gt;0,[11]EvaluaciónRiesgoCorrup!$F$11&lt;51,D18=4,E18=5),$E$27,IF(AND(H18&gt;0,[11]EvaluaciónRiesgoCorrup!$F$11&lt;51,D18=4,E18=10),$F$27,IF(AND(H18&gt;0,[11]EvaluaciónRiesgoCorrup!$F$11&lt;51,D18=4,E18=20),G$27," ")))</f>
        <v xml:space="preserve"> </v>
      </c>
      <c r="AQ18" s="29" t="str">
        <f>IF(AND(H18&gt;0,[11]EvaluaciónRiesgoCorrup!$F$11&lt;51,D18=5,E18=5),$E$28,IF(AND(H18&gt;0,[11]EvaluaciónRiesgoCorrup!$F$11&lt;51,D18=5,E18=10),$F$28,IF(AND(H18&gt;0,[11]EvaluaciónRiesgoCorrup!$F$11&lt;51,D18=5,E18=20),G$28," ")))</f>
        <v xml:space="preserve"> </v>
      </c>
      <c r="AU18" s="29" t="str">
        <f>IF(AND(I18&gt;0,[11]EvaluaciónRiesgoCorrup!$F$11&gt;75,D18=1,E18=5),$E$24,IF(AND(I18&gt;0,[11]EvaluaciónRiesgoCorrup!$F$11&gt;75,D18=1,E18=10),$E$24,IF(AND(I18&gt;0,[11]EvaluaciónRiesgoCorrup!$F$11&gt;75,D18=1,E18=20),$E$24," ")))</f>
        <v xml:space="preserve"> </v>
      </c>
      <c r="AV18" s="29" t="str">
        <f>IF(AND(I18&gt;0,[11]EvaluaciónRiesgoCorrup!$F$11&gt;75,D18=2,E18=5),$E$25,IF(AND(I18&gt;0,[11]EvaluaciónRiesgoCorrup!$F$11&gt;75,D18=2,E18=10),$E$25,IF(AND(I18&gt;0,[11]EvaluaciónRiesgoCorrup!$F$11&gt;75,D18=2,E18=20),$E$25," ")))</f>
        <v xml:space="preserve"> </v>
      </c>
      <c r="AW18" s="29" t="str">
        <f>IF(AND(I18&gt;0,[11]EvaluaciónRiesgoCorrup!$F$11&gt;75,D18=3,E18=5),$E$26,IF(AND(I18&gt;0,[11]EvaluaciónRiesgoCorrup!$F$11&gt;75,D18=3,E18=10),$E$26,IF(AND(I18&gt;0,[11]EvaluaciónRiesgoCorrup!$F$11&gt;75,D18=3,E18=20),$E$26," ")))</f>
        <v xml:space="preserve"> </v>
      </c>
      <c r="AX18" s="29" t="str">
        <f>IF(AND(I18&gt;0,[11]EvaluaciónRiesgoCorrup!$F$11&gt;75,D18=4,E18=5),$E$27,IF(AND(I18&gt;0,[11]EvaluaciónRiesgoCorrup!$F$11&gt;75,D18=4,E18=10),$E$27,IF(AND(I18&gt;0,[11]EvaluaciónRiesgoCorrup!$F$11&gt;75,D18=4,E18=20),$E$27," ")))</f>
        <v xml:space="preserve"> </v>
      </c>
      <c r="AY18" s="29" t="str">
        <f>IF(AND(I18&gt;0,[11]EvaluaciónRiesgoCorrup!$F$11&gt;75,D18=5,E18=5),$E$28,IF(AND(I18&gt;0,[11]EvaluaciónRiesgoCorrup!$F$11&gt;75,D18=5,E18=10),$E$28,IF(AND(I18&gt;0,[11]EvaluaciónRiesgoCorrup!$F$11&gt;75,D18=5,E18=20),$E$28," ")))</f>
        <v xml:space="preserve"> </v>
      </c>
      <c r="BB18" s="29" t="str">
        <f>IF(AND(I18&gt;0,[11]EvaluaciónRiesgoCorrup!$F$11&gt;50,[11]EvaluaciónRiesgoCorrup!$F$11&lt;76,D18=1,E18=5),$E$24,IF(AND(I18&gt;0,[11]EvaluaciónRiesgoCorrup!$F$11&gt;50,[11]EvaluaciónRiesgoCorrup!$F$11&lt;76,D18=1,E18=10),$E$24,IF(AND(I18&gt;0,[11]EvaluaciónRiesgoCorrup!$F$11&gt;50,[11]EvaluaciónRiesgoCorrup!$F$11&lt;76,D18=1,E18=20),$F$24," ")))</f>
        <v xml:space="preserve"> </v>
      </c>
      <c r="BC18" s="29" t="str">
        <f>IF(AND(I18&gt;0,[11]EvaluaciónRiesgoCorrup!$F$11&gt;50,[11]EvaluaciónRiesgoCorrup!$F$11&lt;76,D18=2,E18=5),$E$25,IF(AND(I18&gt;0,[11]EvaluaciónRiesgoCorrup!$F$11&gt;50,[11]EvaluaciónRiesgoCorrup!$F$11&lt;76,D18=2,E18=10),$E$25,IF(AND(I18&gt;0,[11]EvaluaciónRiesgoCorrup!$F$11&gt;50,[11]EvaluaciónRiesgoCorrup!$F$11&lt;76,D18=2,E18=20),$F$25," ")))</f>
        <v xml:space="preserve"> </v>
      </c>
      <c r="BD18" s="29" t="str">
        <f>IF(AND(I18&gt;0,[11]EvaluaciónRiesgoCorrup!$F$11&gt;50,[11]EvaluaciónRiesgoCorrup!$F$11&lt;76,D18=3,E18=5),$E$26,IF(AND(I18&gt;0,[11]EvaluaciónRiesgoCorrup!$F$11&gt;50,[11]EvaluaciónRiesgoCorrup!$F$11&lt;76,D18=3,E18=10),$E$26,IF(AND(I18&gt;0,[11]EvaluaciónRiesgoCorrup!$F$11&gt;50,[11]EvaluaciónRiesgoCorrup!$F$11&lt;76,D18=3,E18=20),$F$26," ")))</f>
        <v xml:space="preserve"> </v>
      </c>
      <c r="BE18" s="29" t="str">
        <f>IF(AND(I18&gt;0,[11]EvaluaciónRiesgoCorrup!$F$11&gt;50,[11]EvaluaciónRiesgoCorrup!$F$11&lt;76,D18=4,E18=5),$E$27,IF(AND(I18&gt;0,[11]EvaluaciónRiesgoCorrup!$F$11&gt;50,[11]EvaluaciónRiesgoCorrup!$F$11&lt;76,D18=4,E18=10),$E$27,IF(AND(I18&gt;0,[11]EvaluaciónRiesgoCorrup!$F$11&gt;50,[11]EvaluaciónRiesgoCorrup!$F$11&lt;76,D18=4,E18=20),$F$27," ")))</f>
        <v xml:space="preserve"> </v>
      </c>
      <c r="BF18" s="29" t="str">
        <f>IF(AND(I18&gt;0,[11]EvaluaciónRiesgoCorrup!$F$11&gt;50,[11]EvaluaciónRiesgoCorrup!$F$11&lt;76,D18=5,E18=5),$E$28,IF(AND(I18&gt;0,[11]EvaluaciónRiesgoCorrup!$F$11&gt;50,[11]EvaluaciónRiesgoCorrup!$F$11&lt;76,D18=5,E18=10),$E$28,IF(AND(I18&gt;0,[11]EvaluaciónRiesgoCorrup!$F$11&gt;50,[11]EvaluaciónRiesgoCorrup!$F$11&lt;76,D18=5,E18=20),$F$28," ")))</f>
        <v xml:space="preserve"> </v>
      </c>
      <c r="BI18" s="29" t="str">
        <f>IF(AND(I18&gt;0,[11]EvaluaciónRiesgoCorrup!$F$11&lt;51,D18=1,E18=5),$E$24,IF(AND(I18&gt;0,[11]EvaluaciónRiesgoCorrup!$F$11&lt;51,D18=1,E18=10),$F$24,IF(AND(I18&gt;0,[11]EvaluaciónRiesgoCorrup!$F$11&lt;51,D18=1,E18=20),$G$24," ")))</f>
        <v xml:space="preserve"> </v>
      </c>
      <c r="BJ18" s="29" t="str">
        <f>IF(AND(I18&gt;0,[11]EvaluaciónRiesgoCorrup!$F$11&lt;51,D18=2,E18=5),$E$25,IF(AND(I18&gt;0,[11]EvaluaciónRiesgoCorrup!$F$11&lt;51,D18=2,E18=10),$F$25,IF(AND(I18&gt;0,[11]EvaluaciónRiesgoCorrup!$F$11&lt;51,D18=2,E18=20),$G$25," ")))</f>
        <v xml:space="preserve"> </v>
      </c>
      <c r="BK18" s="29" t="str">
        <f>IF(AND(I18&gt;0,[11]EvaluaciónRiesgoCorrup!$F$11&lt;51,D18=3,E18=5),$E$26,IF(AND(I18&gt;0,[11]EvaluaciónRiesgoCorrup!$F$11&lt;51,D18=3,E18=10),$F$26,IF(AND(I18&gt;0,[11]EvaluaciónRiesgoCorrup!$F$11&lt;51,D18=3,E18=20),$G$26," ")))</f>
        <v xml:space="preserve"> </v>
      </c>
      <c r="BL18" s="29" t="str">
        <f>IF(AND(I18&gt;0,[11]EvaluaciónRiesgoCorrup!$F$11&lt;51,D18=4,E18=5),$E$27,IF(AND(I18&gt;0,[11]EvaluaciónRiesgoCorrup!$F$11&lt;51,D18=4,E18=10),$F$27,IF(AND(I18&gt;0,[11]EvaluaciónRiesgoCorrup!$F$11&lt;51,D18=4,E18=20),$G$27," ")))</f>
        <v xml:space="preserve"> </v>
      </c>
      <c r="BM18" s="29" t="str">
        <f>IF(AND(I18&gt;0,[11]EvaluaciónRiesgoCorrup!$F$11&lt;51,D18=5,E18=5),$E$28,IF(AND(I18&gt;0,[11]EvaluaciónRiesgoCorrup!$F$11&lt;51,D18=5,E18=10),$F$28,IF(AND(I18&gt;0,[11]EvaluaciónRiesgoCorrup!$F$11&lt;51,D18=5,E18=20),$G$28," ")))</f>
        <v xml:space="preserve"> </v>
      </c>
    </row>
    <row r="19" spans="1:65" ht="13.9" x14ac:dyDescent="0.3">
      <c r="A19" s="32"/>
      <c r="B19" s="22"/>
      <c r="C19" s="22"/>
    </row>
    <row r="20" spans="1:65" ht="13.9" x14ac:dyDescent="0.3">
      <c r="A20" s="29"/>
      <c r="B20" s="31"/>
      <c r="C20" s="31"/>
    </row>
    <row r="21" spans="1:65" ht="14.45" thickBot="1" x14ac:dyDescent="0.35">
      <c r="A21" s="29"/>
      <c r="B21" s="31"/>
      <c r="C21" s="31"/>
      <c r="E21" s="33"/>
      <c r="F21" s="33"/>
    </row>
    <row r="22" spans="1:65" ht="15.75" thickBot="1" x14ac:dyDescent="0.3">
      <c r="A22" s="6"/>
      <c r="B22" s="34"/>
      <c r="C22" s="34"/>
      <c r="D22" s="114" t="s">
        <v>28</v>
      </c>
      <c r="E22" s="116" t="s">
        <v>12</v>
      </c>
      <c r="F22" s="116"/>
      <c r="G22" s="117"/>
      <c r="H22" s="2"/>
      <c r="L22" s="5"/>
      <c r="N22" s="2"/>
    </row>
    <row r="23" spans="1:65" ht="32.25" customHeight="1" thickBot="1" x14ac:dyDescent="0.3">
      <c r="A23" s="5"/>
      <c r="B23" s="35" t="s">
        <v>46</v>
      </c>
      <c r="C23" s="35"/>
      <c r="D23" s="115"/>
      <c r="E23" s="36" t="s">
        <v>47</v>
      </c>
      <c r="F23" s="37" t="s">
        <v>48</v>
      </c>
      <c r="G23" s="36" t="s">
        <v>49</v>
      </c>
      <c r="H23" s="2"/>
      <c r="L23" s="5"/>
      <c r="N23" s="2"/>
    </row>
    <row r="24" spans="1:65" ht="15.75" thickBot="1" x14ac:dyDescent="0.3">
      <c r="B24" s="5" t="s">
        <v>50</v>
      </c>
      <c r="D24" s="38" t="s">
        <v>51</v>
      </c>
      <c r="E24" s="39" t="s">
        <v>52</v>
      </c>
      <c r="F24" s="39" t="s">
        <v>52</v>
      </c>
      <c r="G24" s="40" t="s">
        <v>53</v>
      </c>
      <c r="H24" s="2"/>
      <c r="L24" s="5"/>
      <c r="N24" s="2"/>
    </row>
    <row r="25" spans="1:65" ht="14.45" thickBot="1" x14ac:dyDescent="0.35">
      <c r="D25" s="38" t="s">
        <v>54</v>
      </c>
      <c r="E25" s="39" t="s">
        <v>52</v>
      </c>
      <c r="F25" s="40" t="s">
        <v>53</v>
      </c>
      <c r="G25" s="41" t="s">
        <v>55</v>
      </c>
      <c r="H25" s="2"/>
      <c r="L25" s="5"/>
      <c r="N25" s="2"/>
    </row>
    <row r="26" spans="1:65" ht="14.45" thickBot="1" x14ac:dyDescent="0.35">
      <c r="D26" s="38" t="s">
        <v>56</v>
      </c>
      <c r="E26" s="40" t="s">
        <v>53</v>
      </c>
      <c r="F26" s="41" t="s">
        <v>55</v>
      </c>
      <c r="G26" s="42" t="s">
        <v>57</v>
      </c>
      <c r="H26" s="2"/>
      <c r="L26" s="5"/>
      <c r="N26" s="2"/>
    </row>
    <row r="27" spans="1:65" ht="14.45" thickBot="1" x14ac:dyDescent="0.35">
      <c r="D27" s="38" t="s">
        <v>58</v>
      </c>
      <c r="E27" s="40" t="s">
        <v>53</v>
      </c>
      <c r="F27" s="41" t="s">
        <v>55</v>
      </c>
      <c r="G27" s="42" t="s">
        <v>57</v>
      </c>
      <c r="H27" s="2"/>
      <c r="L27" s="5"/>
      <c r="N27" s="2"/>
    </row>
    <row r="28" spans="1:65" ht="14.45" thickBot="1" x14ac:dyDescent="0.35">
      <c r="D28" s="38" t="s">
        <v>59</v>
      </c>
      <c r="E28" s="40" t="s">
        <v>53</v>
      </c>
      <c r="F28" s="41" t="s">
        <v>55</v>
      </c>
      <c r="G28" s="42" t="s">
        <v>57</v>
      </c>
      <c r="H28" s="2"/>
      <c r="L28" s="5"/>
      <c r="N28" s="2"/>
    </row>
    <row r="29" spans="1:65" x14ac:dyDescent="0.25">
      <c r="D29" s="2"/>
      <c r="E29" s="2"/>
      <c r="F29" s="2"/>
      <c r="G29" s="5"/>
      <c r="I29" s="5"/>
    </row>
    <row r="30" spans="1:65" ht="15" x14ac:dyDescent="0.25">
      <c r="D30" s="43" t="s">
        <v>60</v>
      </c>
      <c r="E30" s="2"/>
      <c r="F30" s="2"/>
      <c r="G30" s="5"/>
      <c r="I30" s="5"/>
      <c r="J30" s="5"/>
      <c r="K30" s="5"/>
    </row>
    <row r="31" spans="1:65" ht="15" x14ac:dyDescent="0.25">
      <c r="D31" s="44" t="s">
        <v>61</v>
      </c>
      <c r="E31" s="2"/>
      <c r="F31" s="2"/>
      <c r="G31" s="5"/>
      <c r="I31" s="5"/>
      <c r="J31" s="5"/>
      <c r="K31" s="5"/>
    </row>
    <row r="32" spans="1:65" ht="15" x14ac:dyDescent="0.25">
      <c r="D32" s="45" t="s">
        <v>62</v>
      </c>
      <c r="E32" s="2"/>
      <c r="F32" s="2"/>
      <c r="G32" s="5"/>
      <c r="I32" s="5"/>
      <c r="J32" s="5"/>
      <c r="K32" s="5"/>
    </row>
    <row r="33" spans="4:11" ht="15" x14ac:dyDescent="0.25">
      <c r="D33" s="46" t="s">
        <v>63</v>
      </c>
      <c r="E33" s="2"/>
      <c r="F33" s="2"/>
      <c r="G33" s="5"/>
      <c r="I33" s="5"/>
      <c r="J33" s="5"/>
      <c r="K33"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2:D23"/>
    <mergeCell ref="E22:G22"/>
    <mergeCell ref="K15:M15"/>
  </mergeCells>
  <conditionalFormatting sqref="F17:F18 J17:J18">
    <cfRule type="containsText" dxfId="27" priority="1" operator="containsText" text="E">
      <formula>NOT(ISERROR(SEARCH("E",F17)))</formula>
    </cfRule>
    <cfRule type="containsText" dxfId="26" priority="2" operator="containsText" text="M">
      <formula>NOT(ISERROR(SEARCH("M",F17)))</formula>
    </cfRule>
    <cfRule type="containsText" dxfId="25" priority="3" operator="containsText" text="A">
      <formula>NOT(ISERROR(SEARCH("A",F17)))</formula>
    </cfRule>
    <cfRule type="containsText" dxfId="24" priority="4" operator="containsText" text="B">
      <formula>NOT(ISERROR(SEARCH("B",F17)))</formula>
    </cfRule>
  </conditionalFormatting>
  <dataValidations count="2">
    <dataValidation type="list" allowBlank="1" showInputMessage="1" showErrorMessage="1" sqref="H19:J19">
      <formula1>#REF!</formula1>
    </dataValidation>
    <dataValidation type="list" allowBlank="1" showInputMessage="1" showErrorMessage="1" sqref="K19:L19">
      <formula1>$F$30:$F$33</formula1>
    </dataValidation>
  </dataValidations>
  <pageMargins left="0.7" right="0.7" top="0.75" bottom="0.75" header="0.3" footer="0.3"/>
  <pageSetup scale="26"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34"/>
  <sheetViews>
    <sheetView showGridLines="0" view="pageBreakPreview" zoomScale="70" zoomScaleNormal="70" zoomScaleSheetLayoutView="7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21.7109375" style="2" customWidth="1"/>
    <col min="11" max="11" width="19.85546875" style="2" customWidth="1"/>
    <col min="12" max="12" width="24.85546875" style="2" customWidth="1"/>
    <col min="13" max="13" width="29.140625"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[12]IdentRiesgo!B2</f>
        <v>GESTION FINANCIERA - TESORERÍA</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[12]IdentRiesgo!B3</f>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64</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1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18" t="s">
        <v>28</v>
      </c>
      <c r="E16" s="18" t="s">
        <v>12</v>
      </c>
      <c r="F16" s="18" t="s">
        <v>29</v>
      </c>
      <c r="G16" s="107"/>
      <c r="H16" s="18" t="s">
        <v>28</v>
      </c>
      <c r="I16" s="18" t="s">
        <v>12</v>
      </c>
      <c r="J16" s="20" t="s">
        <v>29</v>
      </c>
      <c r="K16" s="18" t="s">
        <v>30</v>
      </c>
      <c r="L16" s="18" t="s">
        <v>26</v>
      </c>
      <c r="M16" s="18" t="s">
        <v>31</v>
      </c>
      <c r="N16" s="110"/>
      <c r="O16" s="110"/>
      <c r="P16" s="110"/>
      <c r="Q16" s="110"/>
    </row>
    <row r="17" spans="1:65" ht="354.75" customHeight="1" x14ac:dyDescent="0.25">
      <c r="A17" s="22" t="str">
        <f>[12]IdentRiesgo!A6</f>
        <v>Omisión, intereses mutuo o recibimiento de dádivas.</v>
      </c>
      <c r="B17" s="22" t="str">
        <f>[12]IdentRiesgo!B6</f>
        <v xml:space="preserve">Desviación de recursos girados en beneficio a terceros. </v>
      </c>
      <c r="C17" s="22" t="str">
        <f>[12]IdentRiesgo!D6</f>
        <v>Procesos disciplinarias, penales o fiscales.
Detrimento patrimonial.</v>
      </c>
      <c r="D17" s="23">
        <f>IF([12]AnálisisRiesgo!B9&gt;0,5,IF([12]AnálisisRiesgo!C9&gt;0,4,IF([12]AnálisisRiesgo!D9&gt;0,3,IF([12]AnálisisRiesgo!E9&gt;0,2,IF([12]AnálisisRiesgo!F9&gt;0,1,"")))))</f>
        <v>1</v>
      </c>
      <c r="E17" s="23">
        <f>IF([12]AnálisisRiesgo!G9&gt;0,5,IF([12]AnálisisRiesgo!H9&gt;0,4,IF([12]AnálisisRiesgo!I9&gt;0,3,IF([12]AnálisisRiesgo!J9&gt;0,2,IF([12]AnálisisRiesgo!K9&gt;0,1,IF([12]AnálisisRiesgo!L9&gt;0,20,IF([12]AnálisisRiesgo!M9&gt;0,10,IF([12]AnálisisRiesgo!N9&gt;0,5,""))))))))</f>
        <v>20</v>
      </c>
      <c r="F17" s="23" t="str">
        <f>CONCATENATE(S17,T17,U17,V17,W17)</f>
        <v xml:space="preserve">M    </v>
      </c>
      <c r="G17" s="26" t="s">
        <v>146</v>
      </c>
      <c r="H17" s="49"/>
      <c r="I17" s="26" t="s">
        <v>83</v>
      </c>
      <c r="J17" s="23" t="str">
        <f>CONCATENATE(Z17,AA17,AB17,AC17,AD17,AF17,AG17,AH17,AI17,AJ17,AM17,AN17,AO17,AP17,AQ17,AU17,AV17,AW17,AX17,AY17,BB17,BC17,BD17,BE17,BF17,BI17,BJ17,BK17,BL17,BM17)</f>
        <v xml:space="preserve">               B              </v>
      </c>
      <c r="K17" s="26" t="s">
        <v>104</v>
      </c>
      <c r="L17" s="26" t="s">
        <v>105</v>
      </c>
      <c r="M17" s="51" t="s">
        <v>106</v>
      </c>
      <c r="N17" s="52"/>
      <c r="O17" s="27"/>
      <c r="P17" s="27"/>
      <c r="Q17" s="29"/>
      <c r="S17" s="29" t="str">
        <f>IF(AND(D17=1,E17=5),$E$25,IF(AND(D17=1,E17=10),$F$25,IF(AND(D17=1,E17=20),$G$25," ")))</f>
        <v>M</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IF(AND(H17&gt;0,'[12]EvaluaciónRiesgoCorrup (1)'!$F$11&gt;75,D17=1,E17=5),$E$25,IF(AND(H17&gt;0,'[12]EvaluaciónRiesgoCorrup (1)'!$F$11&gt;75,D17=1,E17=10),$F$25,IF(AND(H17&gt;0,'[12]EvaluaciónRiesgoCorrup (1)'!$F$11&gt;75,D17=1,E17=20),$G$25," ")))</f>
        <v xml:space="preserve"> </v>
      </c>
      <c r="AA17" s="29" t="str">
        <f>IF(AND(H17&gt;0,'[12]EvaluaciónRiesgoCorrup (1)'!$F$11&gt;75,D17=2,E17=5),$E$25,IF(AND(H17&gt;0,'[12]EvaluaciónRiesgoCorrup (1)'!$F$11&gt;75,D17=2,E17=10),$F$25,IF(AND(H17&gt;0,'[12]EvaluaciónRiesgoCorrup (1)'!$F$11&gt;75,D17=2,E17=20),$G$25," ")))</f>
        <v xml:space="preserve"> </v>
      </c>
      <c r="AB17" s="29" t="str">
        <f>IF(AND(H17&gt;0,'[12]EvaluaciónRiesgoCorrup (1)'!$F$11&gt;75,D17=3,E17=5),$E$25,IF(AND(H17&gt;0,'[12]EvaluaciónRiesgoCorrup (1)'!$F$11&gt;75,D17=3,E17=10),$F$25,IF(AND(H17&gt;0,'[12]EvaluaciónRiesgoCorrup (1)'!$F$11&gt;75,D17=3,E17=20),$G$25," ")))</f>
        <v xml:space="preserve"> </v>
      </c>
      <c r="AC17" s="29" t="str">
        <f>IF(AND(H17&gt;0,'[12]EvaluaciónRiesgoCorrup (1)'!$F$11&gt;75,D17=4,E17=5),$E$26,IF(AND(H17&gt;0,'[12]EvaluaciónRiesgoCorrup (1)'!$F$11&gt;75,D17=4,E17=10),$F$26,IF(AND(H17&gt;0,'[12]EvaluaciónRiesgoCorrup (1)'!$F$11&gt;75,D17=4,E17=20),$G$26," ")))</f>
        <v xml:space="preserve"> </v>
      </c>
      <c r="AD17" s="29" t="str">
        <f>IF(AND(H17&gt;0,'[12]EvaluaciónRiesgoCorrup (1)'!$F$11&gt;75,D17=5,E17=5),$E$27,IF(AND(H17&gt;0,'[12]EvaluaciónRiesgoCorrup (1)'!$F$11&gt;75,D17=5,E17=10),$F$27,IF(AND(H17&gt;0,'[12]EvaluaciónRiesgoCorrup (1)'!$F$11&gt;75,D17=5,E17=20),$G$27," ")))</f>
        <v xml:space="preserve"> </v>
      </c>
      <c r="AE17" s="30" t="s">
        <v>36</v>
      </c>
      <c r="AF17" s="29" t="str">
        <f>IF(AND(H17&gt;0,'[12]EvaluaciónRiesgoCorrup (1)'!$F$11&gt;50,'[12]EvaluaciónRiesgoCorrup (1)'!$F$11&lt;76,D17=1,E17=5),$E$25,IF(AND(H17&gt;0,'[12]EvaluaciónRiesgoCorrup (1)'!$F$11&gt;50,'[12]EvaluaciónRiesgoCorrup (1)'!$F$11&lt;76,D17=1,E17=10),$F$25,IF(AND(H17&gt;0,'[12]EvaluaciónRiesgoCorrup (1)'!$F$11&gt;50,'[12]EvaluaciónRiesgoCorrup (1)'!$F$11&lt;76,D17=1,E17=20),$G$25," ")))</f>
        <v xml:space="preserve"> </v>
      </c>
      <c r="AG17" s="29" t="str">
        <f>IF(AND(H17&gt;0,'[12]EvaluaciónRiesgoCorrup (1)'!$F$11&gt;50,'[12]EvaluaciónRiesgoCorrup (1)'!$F$11&lt;76,D17=2,E17=5),$E$25,IF(AND(H17&gt;0,'[12]EvaluaciónRiesgoCorrup (1)'!$F$11&gt;50,'[12]EvaluaciónRiesgoCorrup (1)'!$F$11&lt;76,D17=2,E17=10),$F$25,IF(AND(H17&gt;0,'[12]EvaluaciónRiesgoCorrup (1)'!$F$11&gt;50,'[12]EvaluaciónRiesgoCorrup (1)'!$F$11&lt;76,D17=2,E17=20),$G$25," ")))</f>
        <v xml:space="preserve"> </v>
      </c>
      <c r="AH17" s="29" t="str">
        <f>IF(AND(H17&gt;0,'[12]EvaluaciónRiesgoCorrup (1)'!$F$11&gt;50,'[12]EvaluaciónRiesgoCorrup (1)'!$F$11&lt;76,D17=3,E17=5),$E$26,IF(AND(H17&gt;0,'[12]EvaluaciónRiesgoCorrup (1)'!$F$11&gt;50,'[12]EvaluaciónRiesgoCorrup (1)'!$F$11&lt;76,D17=3,E17=10),$F$26,IF(AND(H17&gt;0,'[12]EvaluaciónRiesgoCorrup (1)'!$F$11&gt;50,'[12]EvaluaciónRiesgoCorrup (1)'!$F$11&lt;76,D17=3,E17=20),$G$26," ")))</f>
        <v xml:space="preserve"> </v>
      </c>
      <c r="AI17" s="29" t="str">
        <f>IF(AND(H17&gt;0,'[12]EvaluaciónRiesgoCorrup (1)'!$F$11&gt;50,'[12]EvaluaciónRiesgoCorrup (1)'!$F$11&lt;76,D17=4,E17=5),$E$27,IF(AND(H17&gt;0,'[12]EvaluaciónRiesgoCorrup (1)'!$F$11&gt;50,'[12]EvaluaciónRiesgoCorrup (1)'!$F$11&lt;76,D17=4,E17=10),$F$27,IF(AND(H17&gt;0,'[12]EvaluaciónRiesgoCorrup (1)'!$F$11&gt;50,'[12]EvaluaciónRiesgoCorrup (1)'!$F$11&lt;76,D17=4,E17=20),$G$27," ")))</f>
        <v xml:space="preserve"> </v>
      </c>
      <c r="AJ17" s="29" t="str">
        <f>IF(AND(H17&gt;0,'[12]EvaluaciónRiesgoCorrup (1)'!$F$11&gt;50,'[12]EvaluaciónRiesgoCorrup (1)'!$F$11&lt;76,D17=5,E17=5),$E$28,IF(AND(H17&gt;0,'[12]EvaluaciónRiesgoCorrup (1)'!$F$11&gt;50,'[12]EvaluaciónRiesgoCorrup (1)'!$F$11&lt;76,D17=5,E17=10),$F$28,IF(AND(H17&gt;0,'[12]EvaluaciónRiesgoCorrup (1)'!$F$11&gt;50,'[12]EvaluaciónRiesgoCorrup (1)'!$F$11&lt;76,D17=5,E17=20),$G$28," ")))</f>
        <v xml:space="preserve"> </v>
      </c>
      <c r="AL17" s="30" t="s">
        <v>37</v>
      </c>
      <c r="AM17" s="29" t="str">
        <f>IF(AND(H17&gt;0,'[12]EvaluaciónRiesgoCorrup (1)'!$F$11&lt;51,D17=1,E17=5),$E$25,IF(AND(H17&gt;0,'[12]EvaluaciónRiesgoCorrup (1)'!$F$11&lt;51,D17=1,E17=10),$F$25,IF(AND(H17&gt;0,'[12]EvaluaciónRiesgoCorrup (1)'!$F$11&lt;51,D17=1,E17=20),G$25," ")))</f>
        <v xml:space="preserve"> </v>
      </c>
      <c r="AN17" s="29" t="str">
        <f>IF(AND(H17&gt;0,'[12]EvaluaciónRiesgoCorrup (1)'!$F$11&lt;51,D17=2,E17=5),$E$26,IF(AND(H17&gt;0,'[12]EvaluaciónRiesgoCorrup (1)'!$F$11&lt;51,D17=2,E17=10),$F$26,IF(AND(H17&gt;0,'[12]EvaluaciónRiesgoCorrup (1)'!$F$11&lt;51,D17=2,E17=20),G$26," ")))</f>
        <v xml:space="preserve"> </v>
      </c>
      <c r="AO17" s="29" t="str">
        <f>IF(AND(H17&gt;0,'[12]EvaluaciónRiesgoCorrup (1)'!$F$11&lt;51,D17=3,E17=5),$E$27,IF(AND(H17&gt;0,'[12]EvaluaciónRiesgoCorrup (1)'!$F$11&lt;51,D17=3,E17=10),$F$27,IF(AND(H17&gt;0,'[12]EvaluaciónRiesgoCorrup (1)'!$F$11&lt;51,D17=3,E17=20),G$27," ")))</f>
        <v xml:space="preserve"> </v>
      </c>
      <c r="AP17" s="29" t="str">
        <f>IF(AND(H17&gt;0,'[12]EvaluaciónRiesgoCorrup (1)'!$F$11&lt;51,D17=4,E17=5),$E$28,IF(AND(H17&gt;0,'[12]EvaluaciónRiesgoCorrup (1)'!$F$11&lt;51,D17=4,E17=10),$F$28,IF(AND(H17&gt;0,'[12]EvaluaciónRiesgoCorrup (1)'!$F$11&lt;51,D17=4,E17=20),G$28," ")))</f>
        <v xml:space="preserve"> </v>
      </c>
      <c r="AQ17" s="29" t="str">
        <f>IF(AND(H17&gt;0,'[12]EvaluaciónRiesgoCorrup (1)'!$F$11&lt;51,D17=5,E17=5),$E$29,IF(AND(H17&gt;0,'[12]EvaluaciónRiesgoCorrup (1)'!$F$11&lt;51,D17=5,E17=10),$F$29,IF(AND(H17&gt;0,'[12]EvaluaciónRiesgoCorrup (1)'!$F$11&lt;51,D17=5,E17=20),G$29," ")))</f>
        <v xml:space="preserve"> </v>
      </c>
      <c r="AT17" s="30" t="s">
        <v>35</v>
      </c>
      <c r="AU17" s="29" t="str">
        <f>IF(AND(I17&gt;0,'[12]EvaluaciónRiesgoCorrup (1)'!$F$11&gt;75,D17=1,E17=5),$E$25,IF(AND(I17&gt;0,'[12]EvaluaciónRiesgoCorrup (1)'!$F$11&gt;75,D17=1,E17=10),$E$25,IF(AND(I17&gt;0,'[12]EvaluaciónRiesgoCorrup (1)'!$F$11&gt;75,D17=1,E17=20),$E$25," ")))</f>
        <v>B</v>
      </c>
      <c r="AV17" s="29" t="str">
        <f>IF(AND(I17&gt;0,'[12]EvaluaciónRiesgoCorrup (1)'!$F$11&gt;75,D17=2,E17=5),$E$26,IF(AND(I17&gt;0,'[12]EvaluaciónRiesgoCorrup (1)'!$F$11&gt;75,D17=2,E17=10),$E$26,IF(AND(I17&gt;0,'[12]EvaluaciónRiesgoCorrup (1)'!$F$11&gt;75,D17=2,E17=20),$E$26," ")))</f>
        <v xml:space="preserve"> </v>
      </c>
      <c r="AW17" s="29" t="str">
        <f>IF(AND(I17&gt;0,'[12]EvaluaciónRiesgoCorrup (1)'!$F$11&gt;75,D17=3,E17=5),$E$27,IF(AND(I17&gt;0,'[12]EvaluaciónRiesgoCorrup (1)'!$F$11&gt;75,D17=3,E17=10),$E$27,IF(AND(I17&gt;0,'[12]EvaluaciónRiesgoCorrup (1)'!$F$11&gt;75,D17=3,E17=20),$E$27," ")))</f>
        <v xml:space="preserve"> </v>
      </c>
      <c r="AX17" s="29" t="str">
        <f>IF(AND(I17&gt;0,'[12]EvaluaciónRiesgoCorrup (1)'!$F$11&gt;75,D17=4,E17=5),$E$28,IF(AND(I17&gt;0,'[12]EvaluaciónRiesgoCorrup (1)'!$F$11&gt;75,D17=4,E17=10),$E$28,IF(AND(I17&gt;0,'[12]EvaluaciónRiesgoCorrup (1)'!$F$11&gt;75,D17=4,E17=20),$E$28," ")))</f>
        <v xml:space="preserve"> </v>
      </c>
      <c r="AY17" s="29" t="str">
        <f>IF(AND(I17&gt;0,'[12]EvaluaciónRiesgoCorrup (1)'!$F$11&gt;75,D17=5,E17=5),$E$29,IF(AND(I17&gt;0,'[12]EvaluaciónRiesgoCorrup (1)'!$F$11&gt;75,D17=5,E17=10),$E$29,IF(AND(I17&gt;0,'[12]EvaluaciónRiesgoCorrup (1)'!$F$11&gt;75,D17=5,E17=20),$E$29," ")))</f>
        <v xml:space="preserve"> </v>
      </c>
      <c r="BA17" s="30" t="s">
        <v>36</v>
      </c>
      <c r="BB17" s="29" t="str">
        <f>IF(AND(I17&gt;0,'[12]EvaluaciónRiesgoCorrup (1)'!$F$11&gt;50,'[12]EvaluaciónRiesgoCorrup (1)'!$F$11&lt;76,D17=1,E17=5),$E$25,IF(AND(I17&gt;0,'[12]EvaluaciónRiesgoCorrup (1)'!$F$11&gt;50,'[12]EvaluaciónRiesgoCorrup (1)'!$F$11&lt;76,D17=1,E17=10),$E$25,IF(AND(I17&gt;0,'[12]EvaluaciónRiesgoCorrup (1)'!$F$11&gt;50,'[12]EvaluaciónRiesgoCorrup (1)'!$F$11&lt;76,D17=1,E17=20),$F$25," ")))</f>
        <v xml:space="preserve"> </v>
      </c>
      <c r="BC17" s="29" t="str">
        <f>IF(AND(I17&gt;0,'[12]EvaluaciónRiesgoCorrup (1)'!$F$11&gt;50,'[12]EvaluaciónRiesgoCorrup (1)'!$F$11&lt;76,D17=2,E17=5),$E$26,IF(AND(I17&gt;0,'[12]EvaluaciónRiesgoCorrup (1)'!$F$11&gt;50,'[12]EvaluaciónRiesgoCorrup (1)'!$F$11&lt;76,D17=2,E17=10),$E$26,IF(AND(I17&gt;0,'[12]EvaluaciónRiesgoCorrup (1)'!$F$11&gt;50,'[12]EvaluaciónRiesgoCorrup (1)'!$F$11&lt;76,D17=2,E17=20),$F$26," ")))</f>
        <v xml:space="preserve"> </v>
      </c>
      <c r="BD17" s="29" t="str">
        <f>IF(AND(I17&gt;0,'[12]EvaluaciónRiesgoCorrup (1)'!$F$11&gt;50,'[12]EvaluaciónRiesgoCorrup (1)'!$F$11&lt;76,D17=3,E17=5),$E$27,IF(AND(I17&gt;0,'[12]EvaluaciónRiesgoCorrup (1)'!$F$11&gt;50,'[12]EvaluaciónRiesgoCorrup (1)'!$F$11&lt;76,D17=3,E17=10),$E$27,IF(AND(I17&gt;0,'[12]EvaluaciónRiesgoCorrup (1)'!$F$11&gt;50,'[12]EvaluaciónRiesgoCorrup (1)'!$F$11&lt;76,D17=3,E17=20),$F$27," ")))</f>
        <v xml:space="preserve"> </v>
      </c>
      <c r="BE17" s="29" t="str">
        <f>IF(AND(I17&gt;0,'[12]EvaluaciónRiesgoCorrup (1)'!$F$11&gt;50,'[12]EvaluaciónRiesgoCorrup (1)'!$F$11&lt;76,D17=4,E17=5),$E$28,IF(AND(I17&gt;0,'[12]EvaluaciónRiesgoCorrup (1)'!$F$11&gt;50,'[12]EvaluaciónRiesgoCorrup (1)'!$F$11&lt;76,D17=4,E17=10),$E$28,IF(AND(I17&gt;0,'[12]EvaluaciónRiesgoCorrup (1)'!$F$11&gt;50,'[12]EvaluaciónRiesgoCorrup (1)'!$F$11&lt;76,D17=4,E17=20),$F$28," ")))</f>
        <v xml:space="preserve"> </v>
      </c>
      <c r="BF17" s="29" t="str">
        <f>IF(AND(I17&gt;0,'[12]EvaluaciónRiesgoCorrup (1)'!$F$11&gt;50,'[12]EvaluaciónRiesgoCorrup (1)'!$F$11&lt;76,D17=5,E17=5),$E$29,IF(AND(I17&gt;0,'[12]EvaluaciónRiesgoCorrup (1)'!$F$11&gt;50,'[12]EvaluaciónRiesgoCorrup (1)'!$F$11&lt;76,D17=5,E17=10),$E$29,IF(AND(I17&gt;0,'[12]EvaluaciónRiesgoCorrup (1)'!$F$11&gt;50,'[12]EvaluaciónRiesgoCorrup (1)'!$F$11&lt;76,D17=5,E17=20),$F$29," ")))</f>
        <v xml:space="preserve"> </v>
      </c>
      <c r="BH17" s="30" t="s">
        <v>37</v>
      </c>
      <c r="BI17" s="29" t="str">
        <f>IF(AND(I17&gt;0,'[12]EvaluaciónRiesgoCorrup (1)'!$F$11&lt;51,D17=1,E17=5),$E$25,IF(AND(I17&gt;0,'[12]EvaluaciónRiesgoCorrup (1)'!$F$11&lt;51,D17=1,E17=10),$F$25,IF(AND(I17&gt;0,'[12]EvaluaciónRiesgoCorrup (1)'!$F$11&lt;51,D17=1,E17=20),$G$25," ")))</f>
        <v xml:space="preserve"> </v>
      </c>
      <c r="BJ17" s="29" t="str">
        <f>IF(AND(I17&gt;0,'[12]EvaluaciónRiesgoCorrup (1)'!$F$11&lt;51,D17=2,E17=5),$E$26,IF(AND(I17&gt;0,'[12]EvaluaciónRiesgoCorrup (1)'!$F$11&lt;51,D17=2,E17=10),$F$26,IF(AND(I17&gt;0,'[12]EvaluaciónRiesgoCorrup (1)'!$F$11&lt;51,D17=2,E17=20),$G$26," ")))</f>
        <v xml:space="preserve"> </v>
      </c>
      <c r="BK17" s="29" t="str">
        <f>IF(AND(I17&gt;0,'[12]EvaluaciónRiesgoCorrup (1)'!$F$11&lt;51,D17=3,E17=5),$E$27,IF(AND(I17&gt;0,'[12]EvaluaciónRiesgoCorrup (1)'!$F$11&lt;51,D17=3,E17=10),$F$27,IF(AND(I17&gt;0,'[12]EvaluaciónRiesgoCorrup (1)'!$F$11&lt;51,D17=3,E17=20),$G$27," ")))</f>
        <v xml:space="preserve"> </v>
      </c>
      <c r="BL17" s="29" t="str">
        <f>IF(AND(I17&gt;0,'[12]EvaluaciónRiesgoCorrup (1)'!$F$11&lt;51,D17=4,E17=5),$E$28,IF(AND(I17&gt;0,'[12]EvaluaciónRiesgoCorrup (1)'!$F$11&lt;51,D17=4,E17=10),$F$28,IF(AND(I17&gt;0,'[12]EvaluaciónRiesgoCorrup (1)'!$F$11&lt;51,D17=4,E17=20),$G$28," ")))</f>
        <v xml:space="preserve"> </v>
      </c>
      <c r="BM17" s="29" t="str">
        <f>IF(AND(I17&gt;0,'[12]EvaluaciónRiesgoCorrup (1)'!$F$11&lt;51,D17=5,E17=5),$E$29,IF(AND(I17&gt;0,'[12]EvaluaciónRiesgoCorrup (1)'!$F$11&lt;51,D17=5,E17=10),$F$29,IF(AND(I17&gt;0,'[12]EvaluaciónRiesgoCorrup (1)'!$F$11&lt;51,D17=5,E17=20),$G$29," ")))</f>
        <v xml:space="preserve"> </v>
      </c>
    </row>
    <row r="18" spans="1:65" ht="153.75" customHeight="1" x14ac:dyDescent="0.3">
      <c r="A18" s="32">
        <f>[12]IdentRiesgo!A7</f>
        <v>0</v>
      </c>
      <c r="B18" s="22">
        <f>[12]IdentRiesgo!B7</f>
        <v>0</v>
      </c>
      <c r="C18" s="22">
        <f>[12]IdentRiesgo!D7</f>
        <v>0</v>
      </c>
      <c r="D18" s="23" t="str">
        <f>IF([12]AnálisisRiesgo!B10&gt;0,5,IF([12]AnálisisRiesgo!C10&gt;0,4,IF([12]AnálisisRiesgo!D10&gt;0,3,IF([12]AnálisisRiesgo!E10&gt;0,2,IF([12]AnálisisRiesgo!F10&gt;0,1,"")))))</f>
        <v/>
      </c>
      <c r="E18" s="23" t="str">
        <f>IF([12]AnálisisRiesgo!G10&gt;0,5,IF([12]AnálisisRiesgo!H10&gt;0,4,IF([12]AnálisisRiesgo!I10&gt;0,3,IF([12]AnálisisRiesgo!J10&gt;0,2,IF([12]AnálisisRiesgo!K10&gt;0,1,IF([12]AnálisisRiesgo!L10&gt;0,20,IF([12]AnálisisRiesgo!M10&gt;0,10,IF([12]AnálisisRiesgo!N10&gt;0,5,""))))))))</f>
        <v/>
      </c>
      <c r="F18" s="23" t="str">
        <f t="shared" ref="F18:F19" si="0">CONCATENATE(S18,T18,U18,V18,W18)</f>
        <v xml:space="preserve">     </v>
      </c>
      <c r="G18" s="24"/>
      <c r="H18" s="49"/>
      <c r="I18" s="26"/>
      <c r="J18" s="23" t="str">
        <f t="shared" ref="J18:J19" si="1">CONCATENATE(Z18,AA18,AB18,AC18,AD18,AF18,AG18,AH18,AI18,AJ18,AM18,AN18,AO18,AP18,AQ18,AU18,AV18,AW18,AX18,AY18,BB18,BC18,BD18,BE18,BF18,BI18,BJ18,BK18,BL18,BM18)</f>
        <v xml:space="preserve">                              </v>
      </c>
      <c r="K18" s="23"/>
      <c r="L18" s="23"/>
      <c r="M18" s="23"/>
      <c r="N18" s="27"/>
      <c r="O18" s="27"/>
      <c r="P18" s="27"/>
      <c r="Q18" s="29"/>
      <c r="S18" s="29" t="str">
        <f>IF(AND(D18=1,E18=5),$E$25,IF(AND(D18=1,E18=10),$F$25,IF(AND(D18=1,E18=20),$G$25," ")))</f>
        <v xml:space="preserve"> </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IF(AND(H18&gt;0,'[12]EvaluaciónRiesgoCorrup (1)'!$F$11&gt;75,D18=1,E18=5),$E$25,IF(AND(H18&gt;0,'[12]EvaluaciónRiesgoCorrup (1)'!$F$11&gt;75,D18=1,E18=10),$F$25,IF(AND(H18&gt;0,'[12]EvaluaciónRiesgoCorrup (1)'!$F$11&gt;75,D18=1,E18=20),$G$25," ")))</f>
        <v xml:space="preserve"> </v>
      </c>
      <c r="AA18" s="29" t="str">
        <f>IF(AND(H18&gt;0,'[12]EvaluaciónRiesgoCorrup (1)'!$F$11&gt;75,D18=2,E18=5),$E$25,IF(AND(H18&gt;0,'[12]EvaluaciónRiesgoCorrup (1)'!$F$11&gt;75,D18=2,E18=10),$F$25,IF(AND(H18&gt;0,'[12]EvaluaciónRiesgoCorrup (1)'!$F$11&gt;75,D18=2,E18=20),$G$25," ")))</f>
        <v xml:space="preserve"> </v>
      </c>
      <c r="AB18" s="29" t="str">
        <f>IF(AND(H18&gt;0,'[12]EvaluaciónRiesgoCorrup (1)'!$F$11&gt;75,D18=3,E18=5),$E$25,IF(AND(H18&gt;0,'[12]EvaluaciónRiesgoCorrup (1)'!$F$11&gt;75,D18=3,E18=10),$F$25,IF(AND(H18&gt;0,'[12]EvaluaciónRiesgoCorrup (1)'!$F$11&gt;75,D18=3,E18=20),$G$25," ")))</f>
        <v xml:space="preserve"> </v>
      </c>
      <c r="AC18" s="29" t="str">
        <f>IF(AND(H18&gt;0,'[12]EvaluaciónRiesgoCorrup (1)'!$F$11&gt;75,D18=4,E18=5),$E$26,IF(AND(H18&gt;0,'[12]EvaluaciónRiesgoCorrup (1)'!$F$11&gt;75,D18=4,E18=10),$F$26,IF(AND(H18&gt;0,'[12]EvaluaciónRiesgoCorrup (1)'!$F$11&gt;75,D18=4,E18=20),$G$26," ")))</f>
        <v xml:space="preserve"> </v>
      </c>
      <c r="AD18" s="29" t="str">
        <f>IF(AND(H18&gt;0,'[12]EvaluaciónRiesgoCorrup (1)'!$F$11&gt;75,D18=5,E18=5),$E$27,IF(AND(H18&gt;0,'[12]EvaluaciónRiesgoCorrup (1)'!$F$11&gt;75,D18=5,E18=10),$F$27,IF(AND(H18&gt;0,'[12]EvaluaciónRiesgoCorrup (1)'!$F$11&gt;75,D18=5,E18=20),$G$27," ")))</f>
        <v xml:space="preserve"> </v>
      </c>
      <c r="AF18" s="29" t="str">
        <f>IF(AND(H18&gt;0,'[12]EvaluaciónRiesgoCorrup (1)'!$F$11&gt;50,'[12]EvaluaciónRiesgoCorrup (1)'!$F$11&lt;76,D18=1,E18=5),$E$25,IF(AND(H18&gt;0,'[12]EvaluaciónRiesgoCorrup (1)'!$F$11&gt;50,'[12]EvaluaciónRiesgoCorrup (1)'!$F$11&lt;76,D18=1,E18=10),$F$25,IF(AND(H18&gt;0,'[12]EvaluaciónRiesgoCorrup (1)'!$F$11&gt;50,'[12]EvaluaciónRiesgoCorrup (1)'!$F$11&lt;76,D18=1,E18=20),$G$25," ")))</f>
        <v xml:space="preserve"> </v>
      </c>
      <c r="AG18" s="29" t="str">
        <f>IF(AND(H18&gt;0,'[12]EvaluaciónRiesgoCorrup (1)'!$F$11&gt;50,'[12]EvaluaciónRiesgoCorrup (1)'!$F$11&lt;76,D18=2,E18=5),$E$25,IF(AND(H18&gt;0,'[12]EvaluaciónRiesgoCorrup (1)'!$F$11&gt;50,'[12]EvaluaciónRiesgoCorrup (1)'!$F$11&lt;76,D18=2,E18=10),$F$25,IF(AND(H18&gt;0,'[12]EvaluaciónRiesgoCorrup (1)'!$F$11&gt;50,'[12]EvaluaciónRiesgoCorrup (1)'!$F$11&lt;76,D18=2,E18=20),$G$25," ")))</f>
        <v xml:space="preserve"> </v>
      </c>
      <c r="AH18" s="29" t="str">
        <f>IF(AND(H18&gt;0,'[12]EvaluaciónRiesgoCorrup (1)'!$F$11&gt;50,'[12]EvaluaciónRiesgoCorrup (1)'!$F$11&lt;76,D18=3,E18=5),$E$26,IF(AND(H18&gt;0,'[12]EvaluaciónRiesgoCorrup (1)'!$F$11&gt;50,'[12]EvaluaciónRiesgoCorrup (1)'!$F$11&lt;76,D18=3,E18=10),$F$26,IF(AND(H18&gt;0,'[12]EvaluaciónRiesgoCorrup (1)'!$F$11&gt;50,'[12]EvaluaciónRiesgoCorrup (1)'!$F$11&lt;76,D18=3,E18=20),$G$26," ")))</f>
        <v xml:space="preserve"> </v>
      </c>
      <c r="AI18" s="29" t="str">
        <f>IF(AND(H18&gt;0,'[12]EvaluaciónRiesgoCorrup (1)'!$F$11&gt;50,'[12]EvaluaciónRiesgoCorrup (1)'!$F$11&lt;76,D18=4,E18=5),$E$27,IF(AND(H18&gt;0,'[12]EvaluaciónRiesgoCorrup (1)'!$F$11&gt;50,'[12]EvaluaciónRiesgoCorrup (1)'!$F$11&lt;76,D18=4,E18=10),$F$27,IF(AND(H18&gt;0,'[12]EvaluaciónRiesgoCorrup (1)'!$F$11&gt;50,'[12]EvaluaciónRiesgoCorrup (1)'!$F$11&lt;76,D18=4,E18=20),$G$27," ")))</f>
        <v xml:space="preserve"> </v>
      </c>
      <c r="AJ18" s="29" t="str">
        <f>IF(AND(H18&gt;0,'[12]EvaluaciónRiesgoCorrup (1)'!$F$11&gt;50,'[12]EvaluaciónRiesgoCorrup (1)'!$F$11&lt;76,D18=5,E18=5),$E$28,IF(AND(H18&gt;0,'[12]EvaluaciónRiesgoCorrup (1)'!$F$11&gt;50,'[12]EvaluaciónRiesgoCorrup (1)'!$F$11&lt;76,D18=5,E18=10),$F$28,IF(AND(H18&gt;0,'[12]EvaluaciónRiesgoCorrup (1)'!$F$11&gt;50,'[12]EvaluaciónRiesgoCorrup (1)'!$F$11&lt;76,D18=5,E18=20),$G$28," ")))</f>
        <v xml:space="preserve"> </v>
      </c>
      <c r="AM18" s="29" t="str">
        <f>IF(AND(H18&gt;0,'[12]EvaluaciónRiesgoCorrup (1)'!$F$11&lt;51,D18=1,E18=5),$E$25,IF(AND(H18&gt;0,'[12]EvaluaciónRiesgoCorrup (1)'!$F$11&lt;51,D18=1,E18=10),$F$25,IF(AND(H18&gt;0,'[12]EvaluaciónRiesgoCorrup (1)'!$F$11&lt;51,D18=1,E18=20),G$25," ")))</f>
        <v xml:space="preserve"> </v>
      </c>
      <c r="AN18" s="29" t="str">
        <f>IF(AND(H18&gt;0,'[12]EvaluaciónRiesgoCorrup (1)'!$F$11&lt;51,D18=2,E18=5),$E$26,IF(AND(H18&gt;0,'[12]EvaluaciónRiesgoCorrup (1)'!$F$11&lt;51,D18=2,E18=10),$F$26,IF(AND(H18&gt;0,'[12]EvaluaciónRiesgoCorrup (1)'!$F$11&lt;51,D18=2,E18=20),G$26," ")))</f>
        <v xml:space="preserve"> </v>
      </c>
      <c r="AO18" s="29" t="str">
        <f>IF(AND(H18&gt;0,'[12]EvaluaciónRiesgoCorrup (1)'!$F$11&lt;51,D18=3,E18=5),$E$27,IF(AND(H18&gt;0,'[12]EvaluaciónRiesgoCorrup (1)'!$F$11&lt;51,D18=3,E18=10),$F$27,IF(AND(H18&gt;0,'[12]EvaluaciónRiesgoCorrup (1)'!$F$11&lt;51,D18=3,E18=20),G$27," ")))</f>
        <v xml:space="preserve"> </v>
      </c>
      <c r="AP18" s="29" t="str">
        <f>IF(AND(H18&gt;0,'[12]EvaluaciónRiesgoCorrup (1)'!$F$11&lt;51,D18=4,E18=5),$E$28,IF(AND(H18&gt;0,'[12]EvaluaciónRiesgoCorrup (1)'!$F$11&lt;51,D18=4,E18=10),$F$28,IF(AND(H18&gt;0,'[12]EvaluaciónRiesgoCorrup (1)'!$F$11&lt;51,D18=4,E18=20),G$28," ")))</f>
        <v xml:space="preserve"> </v>
      </c>
      <c r="AQ18" s="29" t="str">
        <f>IF(AND(H18&gt;0,'[12]EvaluaciónRiesgoCorrup (1)'!$F$11&lt;51,D18=5,E18=5),$E$29,IF(AND(H18&gt;0,'[12]EvaluaciónRiesgoCorrup (1)'!$F$11&lt;51,D18=5,E18=10),$F$29,IF(AND(H18&gt;0,'[12]EvaluaciónRiesgoCorrup (1)'!$F$11&lt;51,D18=5,E18=20),G$29," ")))</f>
        <v xml:space="preserve"> </v>
      </c>
      <c r="AU18" s="29" t="str">
        <f>IF(AND(I18&gt;0,'[12]EvaluaciónRiesgoCorrup (1)'!$F$11&gt;75,D18=1,E18=5),$E$25,IF(AND(I18&gt;0,'[12]EvaluaciónRiesgoCorrup (1)'!$F$11&gt;75,D18=1,E18=10),$E$25,IF(AND(I18&gt;0,'[12]EvaluaciónRiesgoCorrup (1)'!$F$11&gt;75,D18=1,E18=20),$E$25," ")))</f>
        <v xml:space="preserve"> </v>
      </c>
      <c r="AV18" s="29" t="str">
        <f>IF(AND(I18&gt;0,'[12]EvaluaciónRiesgoCorrup (1)'!$F$11&gt;75,D18=2,E18=5),$E$26,IF(AND(I18&gt;0,'[12]EvaluaciónRiesgoCorrup (1)'!$F$11&gt;75,D18=2,E18=10),$E$26,IF(AND(I18&gt;0,'[12]EvaluaciónRiesgoCorrup (1)'!$F$11&gt;75,D18=2,E18=20),$E$26," ")))</f>
        <v xml:space="preserve"> </v>
      </c>
      <c r="AW18" s="29" t="str">
        <f>IF(AND(I18&gt;0,'[12]EvaluaciónRiesgoCorrup (1)'!$F$11&gt;75,D18=3,E18=5),$E$27,IF(AND(I18&gt;0,'[12]EvaluaciónRiesgoCorrup (1)'!$F$11&gt;75,D18=3,E18=10),$E$27,IF(AND(I18&gt;0,'[12]EvaluaciónRiesgoCorrup (1)'!$F$11&gt;75,D18=3,E18=20),$E$27," ")))</f>
        <v xml:space="preserve"> </v>
      </c>
      <c r="AX18" s="29" t="str">
        <f>IF(AND(I18&gt;0,'[12]EvaluaciónRiesgoCorrup (1)'!$F$11&gt;75,D18=4,E18=5),$E$28,IF(AND(I18&gt;0,'[12]EvaluaciónRiesgoCorrup (1)'!$F$11&gt;75,D18=4,E18=10),$E$28,IF(AND(I18&gt;0,'[12]EvaluaciónRiesgoCorrup (1)'!$F$11&gt;75,D18=4,E18=20),$E$28," ")))</f>
        <v xml:space="preserve"> </v>
      </c>
      <c r="AY18" s="29" t="str">
        <f>IF(AND(I18&gt;0,'[12]EvaluaciónRiesgoCorrup (1)'!$F$11&gt;75,D18=5,E18=5),$E$29,IF(AND(I18&gt;0,'[12]EvaluaciónRiesgoCorrup (1)'!$F$11&gt;75,D18=5,E18=10),$E$29,IF(AND(I18&gt;0,'[12]EvaluaciónRiesgoCorrup (1)'!$F$11&gt;75,D18=5,E18=20),$E$29," ")))</f>
        <v xml:space="preserve"> </v>
      </c>
      <c r="BB18" s="29" t="str">
        <f>IF(AND(I18&gt;0,'[12]EvaluaciónRiesgoCorrup (1)'!$F$11&gt;50,'[12]EvaluaciónRiesgoCorrup (1)'!$F$11&lt;76,D18=1,E18=5),$E$25,IF(AND(I18&gt;0,'[12]EvaluaciónRiesgoCorrup (1)'!$F$11&gt;50,'[12]EvaluaciónRiesgoCorrup (1)'!$F$11&lt;76,D18=1,E18=10),$E$25,IF(AND(I18&gt;0,'[12]EvaluaciónRiesgoCorrup (1)'!$F$11&gt;50,'[12]EvaluaciónRiesgoCorrup (1)'!$F$11&lt;76,D18=1,E18=20),$F$25," ")))</f>
        <v xml:space="preserve"> </v>
      </c>
      <c r="BC18" s="29" t="str">
        <f>IF(AND(I18&gt;0,'[12]EvaluaciónRiesgoCorrup (1)'!$F$11&gt;50,'[12]EvaluaciónRiesgoCorrup (1)'!$F$11&lt;76,D18=2,E18=5),$E$26,IF(AND(I18&gt;0,'[12]EvaluaciónRiesgoCorrup (1)'!$F$11&gt;50,'[12]EvaluaciónRiesgoCorrup (1)'!$F$11&lt;76,D18=2,E18=10),$E$26,IF(AND(I18&gt;0,'[12]EvaluaciónRiesgoCorrup (1)'!$F$11&gt;50,'[12]EvaluaciónRiesgoCorrup (1)'!$F$11&lt;76,D18=2,E18=20),$F$26," ")))</f>
        <v xml:space="preserve"> </v>
      </c>
      <c r="BD18" s="29" t="str">
        <f>IF(AND(I18&gt;0,'[12]EvaluaciónRiesgoCorrup (1)'!$F$11&gt;50,'[12]EvaluaciónRiesgoCorrup (1)'!$F$11&lt;76,D18=3,E18=5),$E$27,IF(AND(I18&gt;0,'[12]EvaluaciónRiesgoCorrup (1)'!$F$11&gt;50,'[12]EvaluaciónRiesgoCorrup (1)'!$F$11&lt;76,D18=3,E18=10),$E$27,IF(AND(I18&gt;0,'[12]EvaluaciónRiesgoCorrup (1)'!$F$11&gt;50,'[12]EvaluaciónRiesgoCorrup (1)'!$F$11&lt;76,D18=3,E18=20),$F$27," ")))</f>
        <v xml:space="preserve"> </v>
      </c>
      <c r="BE18" s="29" t="str">
        <f>IF(AND(I18&gt;0,'[12]EvaluaciónRiesgoCorrup (1)'!$F$11&gt;50,'[12]EvaluaciónRiesgoCorrup (1)'!$F$11&lt;76,D18=4,E18=5),$E$28,IF(AND(I18&gt;0,'[12]EvaluaciónRiesgoCorrup (1)'!$F$11&gt;50,'[12]EvaluaciónRiesgoCorrup (1)'!$F$11&lt;76,D18=4,E18=10),$E$28,IF(AND(I18&gt;0,'[12]EvaluaciónRiesgoCorrup (1)'!$F$11&gt;50,'[12]EvaluaciónRiesgoCorrup (1)'!$F$11&lt;76,D18=4,E18=20),$F$28," ")))</f>
        <v xml:space="preserve"> </v>
      </c>
      <c r="BF18" s="29" t="str">
        <f>IF(AND(I18&gt;0,'[12]EvaluaciónRiesgoCorrup (1)'!$F$11&gt;50,'[12]EvaluaciónRiesgoCorrup (1)'!$F$11&lt;76,D18=5,E18=5),$E$29,IF(AND(I18&gt;0,'[12]EvaluaciónRiesgoCorrup (1)'!$F$11&gt;50,'[12]EvaluaciónRiesgoCorrup (1)'!$F$11&lt;76,D18=5,E18=10),$E$29,IF(AND(I18&gt;0,'[12]EvaluaciónRiesgoCorrup (1)'!$F$11&gt;50,'[12]EvaluaciónRiesgoCorrup (1)'!$F$11&lt;76,D18=5,E18=20),$F$29," ")))</f>
        <v xml:space="preserve"> </v>
      </c>
      <c r="BI18" s="29" t="str">
        <f>IF(AND(I18&gt;0,'[12]EvaluaciónRiesgoCorrup (1)'!$F$11&lt;51,D18=1,E18=5),$E$25,IF(AND(I18&gt;0,'[12]EvaluaciónRiesgoCorrup (1)'!$F$11&lt;51,D18=1,E18=10),$F$25,IF(AND(I18&gt;0,'[12]EvaluaciónRiesgoCorrup (1)'!$F$11&lt;51,D18=1,E18=20),$G$25," ")))</f>
        <v xml:space="preserve"> </v>
      </c>
      <c r="BJ18" s="29" t="str">
        <f>IF(AND(I18&gt;0,'[12]EvaluaciónRiesgoCorrup (1)'!$F$11&lt;51,D18=2,E18=5),$E$26,IF(AND(I18&gt;0,'[12]EvaluaciónRiesgoCorrup (1)'!$F$11&lt;51,D18=2,E18=10),$F$26,IF(AND(I18&gt;0,'[12]EvaluaciónRiesgoCorrup (1)'!$F$11&lt;51,D18=2,E18=20),$G$26," ")))</f>
        <v xml:space="preserve"> </v>
      </c>
      <c r="BK18" s="29" t="str">
        <f>IF(AND(I18&gt;0,'[12]EvaluaciónRiesgoCorrup (1)'!$F$11&lt;51,D18=3,E18=5),$E$27,IF(AND(I18&gt;0,'[12]EvaluaciónRiesgoCorrup (1)'!$F$11&lt;51,D18=3,E18=10),$F$27,IF(AND(I18&gt;0,'[12]EvaluaciónRiesgoCorrup (1)'!$F$11&lt;51,D18=3,E18=20),$G$27," ")))</f>
        <v xml:space="preserve"> </v>
      </c>
      <c r="BL18" s="29" t="str">
        <f>IF(AND(I18&gt;0,'[12]EvaluaciónRiesgoCorrup (1)'!$F$11&lt;51,D18=4,E18=5),$E$28,IF(AND(I18&gt;0,'[12]EvaluaciónRiesgoCorrup (1)'!$F$11&lt;51,D18=4,E18=10),$F$28,IF(AND(I18&gt;0,'[12]EvaluaciónRiesgoCorrup (1)'!$F$11&lt;51,D18=4,E18=20),$G$28," ")))</f>
        <v xml:space="preserve"> </v>
      </c>
      <c r="BM18" s="29" t="str">
        <f>IF(AND(I18&gt;0,'[12]EvaluaciónRiesgoCorrup (1)'!$F$11&lt;51,D18=5,E18=5),$E$29,IF(AND(I18&gt;0,'[12]EvaluaciónRiesgoCorrup (1)'!$F$11&lt;51,D18=5,E18=10),$F$29,IF(AND(I18&gt;0,'[12]EvaluaciónRiesgoCorrup (1)'!$F$11&lt;51,D18=5,E18=20),$G$29," ")))</f>
        <v xml:space="preserve"> </v>
      </c>
    </row>
    <row r="19" spans="1:65" ht="153.75" customHeight="1" x14ac:dyDescent="0.25">
      <c r="A19" s="32">
        <f>[12]IdentRiesgo!A8</f>
        <v>0</v>
      </c>
      <c r="B19" s="22">
        <f>[12]IdentRiesgo!B8</f>
        <v>0</v>
      </c>
      <c r="C19" s="22">
        <f>[12]IdentRiesgo!D8</f>
        <v>0</v>
      </c>
      <c r="D19" s="23" t="str">
        <f>IF([12]AnálisisRiesgo!B11&gt;0,5,IF([12]AnálisisRiesgo!C11&gt;0,4,IF([12]AnálisisRiesgo!D11&gt;0,3,IF([12]AnálisisRiesgo!E11&gt;0,2,IF([12]AnálisisRiesgo!F11&gt;0,1,"")))))</f>
        <v/>
      </c>
      <c r="E19" s="23" t="str">
        <f>IF([12]AnálisisRiesgo!G11&gt;0,5,IF([12]AnálisisRiesgo!H11&gt;0,4,IF([12]AnálisisRiesgo!I11&gt;0,3,IF([12]AnálisisRiesgo!J11&gt;0,2,IF([12]AnálisisRiesgo!K11&gt;0,1,IF([12]AnálisisRiesgo!L11&gt;0,20,IF([12]AnálisisRiesgo!M11&gt;0,10,IF([12]AnálisisRiesgo!N11&gt;0,5,""))))))))</f>
        <v/>
      </c>
      <c r="F19" s="23" t="str">
        <f t="shared" si="0"/>
        <v xml:space="preserve">     </v>
      </c>
      <c r="G19" s="24"/>
      <c r="H19" s="49"/>
      <c r="I19" s="26"/>
      <c r="J19" s="23" t="str">
        <f t="shared" si="1"/>
        <v xml:space="preserve">                              </v>
      </c>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IF(AND(H19&gt;0,'[12]EvaluaciónRiesgoCorrup (1)'!$F$11&gt;75,D19=1,E19=5),$E$25,IF(AND(H19&gt;0,'[12]EvaluaciónRiesgoCorrup (1)'!$F$11&gt;75,D19=1,E19=10),$F$25,IF(AND(H19&gt;0,'[12]EvaluaciónRiesgoCorrup (1)'!$F$11&gt;75,D19=1,E19=20),$G$25," ")))</f>
        <v xml:space="preserve"> </v>
      </c>
      <c r="AA19" s="29" t="str">
        <f>IF(AND(H19&gt;0,'[12]EvaluaciónRiesgoCorrup (1)'!$F$11&gt;75,D19=2,E19=5),$E$25,IF(AND(H19&gt;0,'[12]EvaluaciónRiesgoCorrup (1)'!$F$11&gt;75,D19=2,E19=10),$F$25,IF(AND(H19&gt;0,'[12]EvaluaciónRiesgoCorrup (1)'!$F$11&gt;75,D19=2,E19=20),$G$25," ")))</f>
        <v xml:space="preserve"> </v>
      </c>
      <c r="AB19" s="29" t="str">
        <f>IF(AND(H19&gt;0,'[12]EvaluaciónRiesgoCorrup (1)'!$F$11&gt;75,D19=3,E19=5),$E$25,IF(AND(H19&gt;0,'[12]EvaluaciónRiesgoCorrup (1)'!$F$11&gt;75,D19=3,E19=10),$F$25,IF(AND(H19&gt;0,'[12]EvaluaciónRiesgoCorrup (1)'!$F$11&gt;75,D19=3,E19=20),$G$25," ")))</f>
        <v xml:space="preserve"> </v>
      </c>
      <c r="AC19" s="29" t="str">
        <f>IF(AND(H19&gt;0,'[12]EvaluaciónRiesgoCorrup (1)'!$F$11&gt;75,D19=4,E19=5),$E$26,IF(AND(H19&gt;0,'[12]EvaluaciónRiesgoCorrup (1)'!$F$11&gt;75,D19=4,E19=10),$F$26,IF(AND(H19&gt;0,'[12]EvaluaciónRiesgoCorrup (1)'!$F$11&gt;75,D19=4,E19=20),$G$26," ")))</f>
        <v xml:space="preserve"> </v>
      </c>
      <c r="AD19" s="29" t="str">
        <f>IF(AND(H19&gt;0,'[12]EvaluaciónRiesgoCorrup (1)'!$F$11&gt;75,D19=5,E19=5),$E$27,IF(AND(H19&gt;0,'[12]EvaluaciónRiesgoCorrup (1)'!$F$11&gt;75,D19=5,E19=10),$F$27,IF(AND(H19&gt;0,'[12]EvaluaciónRiesgoCorrup (1)'!$F$11&gt;75,D19=5,E19=20),$G$27," ")))</f>
        <v xml:space="preserve"> </v>
      </c>
      <c r="AF19" s="29" t="str">
        <f>IF(AND(H19&gt;0,'[12]EvaluaciónRiesgoCorrup (1)'!$F$11&gt;50,'[12]EvaluaciónRiesgoCorrup (1)'!$F$11&lt;76,D19=1,E19=5),$E$25,IF(AND(H19&gt;0,'[12]EvaluaciónRiesgoCorrup (1)'!$F$11&gt;50,'[12]EvaluaciónRiesgoCorrup (1)'!$F$11&lt;76,D19=1,E19=10),$F$25,IF(AND(H19&gt;0,'[12]EvaluaciónRiesgoCorrup (1)'!$F$11&gt;50,'[12]EvaluaciónRiesgoCorrup (1)'!$F$11&lt;76,D19=1,E19=20),$G$25," ")))</f>
        <v xml:space="preserve"> </v>
      </c>
      <c r="AG19" s="29" t="str">
        <f>IF(AND(H19&gt;0,'[12]EvaluaciónRiesgoCorrup (1)'!$F$11&gt;50,'[12]EvaluaciónRiesgoCorrup (1)'!$F$11&lt;76,D19=2,E19=5),$E$25,IF(AND(H19&gt;0,'[12]EvaluaciónRiesgoCorrup (1)'!$F$11&gt;50,'[12]EvaluaciónRiesgoCorrup (1)'!$F$11&lt;76,D19=2,E19=10),$F$25,IF(AND(H19&gt;0,'[12]EvaluaciónRiesgoCorrup (1)'!$F$11&gt;50,'[12]EvaluaciónRiesgoCorrup (1)'!$F$11&lt;76,D19=2,E19=20),$G$25," ")))</f>
        <v xml:space="preserve"> </v>
      </c>
      <c r="AH19" s="29" t="str">
        <f>IF(AND(H19&gt;0,'[12]EvaluaciónRiesgoCorrup (1)'!$F$11&gt;50,'[12]EvaluaciónRiesgoCorrup (1)'!$F$11&lt;76,D19=3,E19=5),$E$26,IF(AND(H19&gt;0,'[12]EvaluaciónRiesgoCorrup (1)'!$F$11&gt;50,'[12]EvaluaciónRiesgoCorrup (1)'!$F$11&lt;76,D19=3,E19=10),$F$26,IF(AND(H19&gt;0,'[12]EvaluaciónRiesgoCorrup (1)'!$F$11&gt;50,'[12]EvaluaciónRiesgoCorrup (1)'!$F$11&lt;76,D19=3,E19=20),$G$26," ")))</f>
        <v xml:space="preserve"> </v>
      </c>
      <c r="AI19" s="29" t="str">
        <f>IF(AND(H19&gt;0,'[12]EvaluaciónRiesgoCorrup (1)'!$F$11&gt;50,'[12]EvaluaciónRiesgoCorrup (1)'!$F$11&lt;76,D19=4,E19=5),$E$27,IF(AND(H19&gt;0,'[12]EvaluaciónRiesgoCorrup (1)'!$F$11&gt;50,'[12]EvaluaciónRiesgoCorrup (1)'!$F$11&lt;76,D19=4,E19=10),$F$27,IF(AND(H19&gt;0,'[12]EvaluaciónRiesgoCorrup (1)'!$F$11&gt;50,'[12]EvaluaciónRiesgoCorrup (1)'!$F$11&lt;76,D19=4,E19=20),$G$27," ")))</f>
        <v xml:space="preserve"> </v>
      </c>
      <c r="AJ19" s="29" t="str">
        <f>IF(AND(H19&gt;0,'[12]EvaluaciónRiesgoCorrup (1)'!$F$11&gt;50,'[12]EvaluaciónRiesgoCorrup (1)'!$F$11&lt;76,D19=5,E19=5),$E$28,IF(AND(H19&gt;0,'[12]EvaluaciónRiesgoCorrup (1)'!$F$11&gt;50,'[12]EvaluaciónRiesgoCorrup (1)'!$F$11&lt;76,D19=5,E19=10),$F$28,IF(AND(H19&gt;0,'[12]EvaluaciónRiesgoCorrup (1)'!$F$11&gt;50,'[12]EvaluaciónRiesgoCorrup (1)'!$F$11&lt;76,D19=5,E19=20),$G$28," ")))</f>
        <v xml:space="preserve"> </v>
      </c>
      <c r="AM19" s="29" t="str">
        <f>IF(AND(H19&gt;0,'[12]EvaluaciónRiesgoCorrup (1)'!$F$11&lt;51,D19=1,E19=5),$E$25,IF(AND(H19&gt;0,'[12]EvaluaciónRiesgoCorrup (1)'!$F$11&lt;51,D19=1,E19=10),$F$25,IF(AND(H19&gt;0,'[12]EvaluaciónRiesgoCorrup (1)'!$F$11&lt;51,D19=1,E19=20),G$25," ")))</f>
        <v xml:space="preserve"> </v>
      </c>
      <c r="AN19" s="29" t="str">
        <f>IF(AND(H19&gt;0,'[12]EvaluaciónRiesgoCorrup (1)'!$F$11&lt;51,D19=2,E19=5),$E$26,IF(AND(H19&gt;0,'[12]EvaluaciónRiesgoCorrup (1)'!$F$11&lt;51,D19=2,E19=10),$F$26,IF(AND(H19&gt;0,'[12]EvaluaciónRiesgoCorrup (1)'!$F$11&lt;51,D19=2,E19=20),G$26," ")))</f>
        <v xml:space="preserve"> </v>
      </c>
      <c r="AO19" s="29" t="str">
        <f>IF(AND(H19&gt;0,'[12]EvaluaciónRiesgoCorrup (1)'!$F$11&lt;51,D19=3,E19=5),$E$27,IF(AND(H19&gt;0,'[12]EvaluaciónRiesgoCorrup (1)'!$F$11&lt;51,D19=3,E19=10),$F$27,IF(AND(H19&gt;0,'[12]EvaluaciónRiesgoCorrup (1)'!$F$11&lt;51,D19=3,E19=20),G$27," ")))</f>
        <v xml:space="preserve"> </v>
      </c>
      <c r="AP19" s="29" t="str">
        <f>IF(AND(H19&gt;0,'[12]EvaluaciónRiesgoCorrup (1)'!$F$11&lt;51,D19=4,E19=5),$E$28,IF(AND(H19&gt;0,'[12]EvaluaciónRiesgoCorrup (1)'!$F$11&lt;51,D19=4,E19=10),$F$28,IF(AND(H19&gt;0,'[12]EvaluaciónRiesgoCorrup (1)'!$F$11&lt;51,D19=4,E19=20),G$28," ")))</f>
        <v xml:space="preserve"> </v>
      </c>
      <c r="AQ19" s="29" t="str">
        <f>IF(AND(H19&gt;0,'[12]EvaluaciónRiesgoCorrup (1)'!$F$11&lt;51,D19=5,E19=5),$E$29,IF(AND(H19&gt;0,'[12]EvaluaciónRiesgoCorrup (1)'!$F$11&lt;51,D19=5,E19=10),$F$29,IF(AND(H19&gt;0,'[12]EvaluaciónRiesgoCorrup (1)'!$F$11&lt;51,D19=5,E19=20),G$29," ")))</f>
        <v xml:space="preserve"> </v>
      </c>
      <c r="AU19" s="29" t="str">
        <f>IF(AND(I19&gt;0,'[12]EvaluaciónRiesgoCorrup (1)'!$F$11&gt;75,D19=1,E19=5),$E$25,IF(AND(I19&gt;0,'[12]EvaluaciónRiesgoCorrup (1)'!$F$11&gt;75,D19=1,E19=10),$E$25,IF(AND(I19&gt;0,'[12]EvaluaciónRiesgoCorrup (1)'!$F$11&gt;75,D19=1,E19=20),$E$25," ")))</f>
        <v xml:space="preserve"> </v>
      </c>
      <c r="AV19" s="29" t="str">
        <f>IF(AND(I19&gt;0,'[12]EvaluaciónRiesgoCorrup (1)'!$F$11&gt;75,D19=2,E19=5),$E$26,IF(AND(I19&gt;0,'[12]EvaluaciónRiesgoCorrup (1)'!$F$11&gt;75,D19=2,E19=10),$E$26,IF(AND(I19&gt;0,'[12]EvaluaciónRiesgoCorrup (1)'!$F$11&gt;75,D19=2,E19=20),$E$26," ")))</f>
        <v xml:space="preserve"> </v>
      </c>
      <c r="AW19" s="29" t="str">
        <f>IF(AND(I19&gt;0,'[12]EvaluaciónRiesgoCorrup (1)'!$F$11&gt;75,D19=3,E19=5),$E$27,IF(AND(I19&gt;0,'[12]EvaluaciónRiesgoCorrup (1)'!$F$11&gt;75,D19=3,E19=10),$E$27,IF(AND(I19&gt;0,'[12]EvaluaciónRiesgoCorrup (1)'!$F$11&gt;75,D19=3,E19=20),$E$27," ")))</f>
        <v xml:space="preserve"> </v>
      </c>
      <c r="AX19" s="29" t="str">
        <f>IF(AND(I19&gt;0,'[12]EvaluaciónRiesgoCorrup (1)'!$F$11&gt;75,D19=4,E19=5),$E$28,IF(AND(I19&gt;0,'[12]EvaluaciónRiesgoCorrup (1)'!$F$11&gt;75,D19=4,E19=10),$E$28,IF(AND(I19&gt;0,'[12]EvaluaciónRiesgoCorrup (1)'!$F$11&gt;75,D19=4,E19=20),$E$28," ")))</f>
        <v xml:space="preserve"> </v>
      </c>
      <c r="AY19" s="29" t="str">
        <f>IF(AND(I19&gt;0,'[12]EvaluaciónRiesgoCorrup (1)'!$F$11&gt;75,D19=5,E19=5),$E$29,IF(AND(I19&gt;0,'[12]EvaluaciónRiesgoCorrup (1)'!$F$11&gt;75,D19=5,E19=10),$E$29,IF(AND(I19&gt;0,'[12]EvaluaciónRiesgoCorrup (1)'!$F$11&gt;75,D19=5,E19=20),$E$29," ")))</f>
        <v xml:space="preserve"> </v>
      </c>
      <c r="BB19" s="29" t="str">
        <f>IF(AND(I19&gt;0,'[12]EvaluaciónRiesgoCorrup (1)'!$F$11&gt;50,'[12]EvaluaciónRiesgoCorrup (1)'!$F$11&lt;76,D19=1,E19=5),$E$25,IF(AND(I19&gt;0,'[12]EvaluaciónRiesgoCorrup (1)'!$F$11&gt;50,'[12]EvaluaciónRiesgoCorrup (1)'!$F$11&lt;76,D19=1,E19=10),$E$25,IF(AND(I19&gt;0,'[12]EvaluaciónRiesgoCorrup (1)'!$F$11&gt;50,'[12]EvaluaciónRiesgoCorrup (1)'!$F$11&lt;76,D19=1,E19=20),$F$25," ")))</f>
        <v xml:space="preserve"> </v>
      </c>
      <c r="BC19" s="29" t="str">
        <f>IF(AND(I19&gt;0,'[12]EvaluaciónRiesgoCorrup (1)'!$F$11&gt;50,'[12]EvaluaciónRiesgoCorrup (1)'!$F$11&lt;76,D19=2,E19=5),$E$26,IF(AND(I19&gt;0,'[12]EvaluaciónRiesgoCorrup (1)'!$F$11&gt;50,'[12]EvaluaciónRiesgoCorrup (1)'!$F$11&lt;76,D19=2,E19=10),$E$26,IF(AND(I19&gt;0,'[12]EvaluaciónRiesgoCorrup (1)'!$F$11&gt;50,'[12]EvaluaciónRiesgoCorrup (1)'!$F$11&lt;76,D19=2,E19=20),$F$26," ")))</f>
        <v xml:space="preserve"> </v>
      </c>
      <c r="BD19" s="29" t="str">
        <f>IF(AND(I19&gt;0,'[12]EvaluaciónRiesgoCorrup (1)'!$F$11&gt;50,'[12]EvaluaciónRiesgoCorrup (1)'!$F$11&lt;76,D19=3,E19=5),$E$27,IF(AND(I19&gt;0,'[12]EvaluaciónRiesgoCorrup (1)'!$F$11&gt;50,'[12]EvaluaciónRiesgoCorrup (1)'!$F$11&lt;76,D19=3,E19=10),$E$27,IF(AND(I19&gt;0,'[12]EvaluaciónRiesgoCorrup (1)'!$F$11&gt;50,'[12]EvaluaciónRiesgoCorrup (1)'!$F$11&lt;76,D19=3,E19=20),$F$27," ")))</f>
        <v xml:space="preserve"> </v>
      </c>
      <c r="BE19" s="29" t="str">
        <f>IF(AND(I19&gt;0,'[12]EvaluaciónRiesgoCorrup (1)'!$F$11&gt;50,'[12]EvaluaciónRiesgoCorrup (1)'!$F$11&lt;76,D19=4,E19=5),$E$28,IF(AND(I19&gt;0,'[12]EvaluaciónRiesgoCorrup (1)'!$F$11&gt;50,'[12]EvaluaciónRiesgoCorrup (1)'!$F$11&lt;76,D19=4,E19=10),$E$28,IF(AND(I19&gt;0,'[12]EvaluaciónRiesgoCorrup (1)'!$F$11&gt;50,'[12]EvaluaciónRiesgoCorrup (1)'!$F$11&lt;76,D19=4,E19=20),$F$28," ")))</f>
        <v xml:space="preserve"> </v>
      </c>
      <c r="BF19" s="29" t="str">
        <f>IF(AND(I19&gt;0,'[12]EvaluaciónRiesgoCorrup (1)'!$F$11&gt;50,'[12]EvaluaciónRiesgoCorrup (1)'!$F$11&lt;76,D19=5,E19=5),$E$29,IF(AND(I19&gt;0,'[12]EvaluaciónRiesgoCorrup (1)'!$F$11&gt;50,'[12]EvaluaciónRiesgoCorrup (1)'!$F$11&lt;76,D19=5,E19=10),$E$29,IF(AND(I19&gt;0,'[12]EvaluaciónRiesgoCorrup (1)'!$F$11&gt;50,'[12]EvaluaciónRiesgoCorrup (1)'!$F$11&lt;76,D19=5,E19=20),$F$29," ")))</f>
        <v xml:space="preserve"> </v>
      </c>
      <c r="BI19" s="29" t="str">
        <f>IF(AND(I19&gt;0,'[12]EvaluaciónRiesgoCorrup (1)'!$F$11&lt;51,D19=1,E19=5),$E$25,IF(AND(I19&gt;0,'[12]EvaluaciónRiesgoCorrup (1)'!$F$11&lt;51,D19=1,E19=10),$F$25,IF(AND(I19&gt;0,'[12]EvaluaciónRiesgoCorrup (1)'!$F$11&lt;51,D19=1,E19=20),$G$25," ")))</f>
        <v xml:space="preserve"> </v>
      </c>
      <c r="BJ19" s="29" t="str">
        <f>IF(AND(I19&gt;0,'[12]EvaluaciónRiesgoCorrup (1)'!$F$11&lt;51,D19=2,E19=5),$E$26,IF(AND(I19&gt;0,'[12]EvaluaciónRiesgoCorrup (1)'!$F$11&lt;51,D19=2,E19=10),$F$26,IF(AND(I19&gt;0,'[12]EvaluaciónRiesgoCorrup (1)'!$F$11&lt;51,D19=2,E19=20),$G$26," ")))</f>
        <v xml:space="preserve"> </v>
      </c>
      <c r="BK19" s="29" t="str">
        <f>IF(AND(I19&gt;0,'[12]EvaluaciónRiesgoCorrup (1)'!$F$11&lt;51,D19=3,E19=5),$E$27,IF(AND(I19&gt;0,'[12]EvaluaciónRiesgoCorrup (1)'!$F$11&lt;51,D19=3,E19=10),$F$27,IF(AND(I19&gt;0,'[12]EvaluaciónRiesgoCorrup (1)'!$F$11&lt;51,D19=3,E19=20),$G$27," ")))</f>
        <v xml:space="preserve"> </v>
      </c>
      <c r="BL19" s="29" t="str">
        <f>IF(AND(I19&gt;0,'[12]EvaluaciónRiesgoCorrup (1)'!$F$11&lt;51,D19=4,E19=5),$E$28,IF(AND(I19&gt;0,'[12]EvaluaciónRiesgoCorrup (1)'!$F$11&lt;51,D19=4,E19=10),$F$28,IF(AND(I19&gt;0,'[12]EvaluaciónRiesgoCorrup (1)'!$F$11&lt;51,D19=4,E19=20),$G$28," ")))</f>
        <v xml:space="preserve"> </v>
      </c>
      <c r="BM19" s="29" t="str">
        <f>IF(AND(I19&gt;0,'[12]EvaluaciónRiesgoCorrup (1)'!$F$11&lt;51,D19=5,E19=5),$E$29,IF(AND(I19&gt;0,'[12]EvaluaciónRiesgoCorrup (1)'!$F$11&lt;51,D19=5,E19=10),$F$29,IF(AND(I19&gt;0,'[12]EvaluaciónRiesgoCorrup (1)'!$F$11&lt;51,D19=5,E19=20),$G$29," ")))</f>
        <v xml:space="preserve"> </v>
      </c>
    </row>
    <row r="20" spans="1:65" x14ac:dyDescent="0.25">
      <c r="A20" s="32"/>
      <c r="B20" s="22"/>
      <c r="C20" s="22"/>
    </row>
    <row r="21" spans="1:65" x14ac:dyDescent="0.25">
      <c r="A21" s="29"/>
      <c r="B21" s="31"/>
      <c r="C21" s="31"/>
    </row>
    <row r="22" spans="1:65" ht="15" thickBot="1" x14ac:dyDescent="0.3">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3:D24"/>
    <mergeCell ref="E23:G23"/>
    <mergeCell ref="K15:M15"/>
  </mergeCells>
  <conditionalFormatting sqref="F17:F19 J17:J19">
    <cfRule type="containsText" dxfId="23" priority="1" operator="containsText" text="E">
      <formula>NOT(ISERROR(SEARCH("E",F17)))</formula>
    </cfRule>
    <cfRule type="containsText" dxfId="22" priority="2" operator="containsText" text="M">
      <formula>NOT(ISERROR(SEARCH("M",F17)))</formula>
    </cfRule>
    <cfRule type="containsText" dxfId="21" priority="3" operator="containsText" text="A">
      <formula>NOT(ISERROR(SEARCH("A",F17)))</formula>
    </cfRule>
    <cfRule type="containsText" dxfId="20"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4"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2"/>
  <sheetViews>
    <sheetView showGridLines="0" view="pageBreakPreview" zoomScale="30" zoomScaleNormal="85" zoomScaleSheetLayoutView="3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21.7109375" style="2" customWidth="1"/>
    <col min="11" max="11" width="19.85546875" style="2" customWidth="1"/>
    <col min="12" max="12" width="42.7109375" style="2" customWidth="1"/>
    <col min="13" max="13" width="26.85546875"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+[13]IdentRiesgo!B2</f>
        <v>GESTION DE RECURSOS INFORMATICOS Y TECNOLOGICOS</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+[13]IdentRiesgo!B3</f>
        <v>Servir como apoyo a todos los procesos del instituto, en cuanto a la implementación, mantenimiento y soporte técnico de los sistemas de información tanto misionales como de apoyo administrativo, garantizando a los usuarios el acceso a las herramientas informáticas a través de una infraestructura tecnológica debidamente actualizada y soportada, cumpliendo con los requisitos de oportunidad, disponibilidad y seguridad.</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80</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1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18" t="s">
        <v>28</v>
      </c>
      <c r="E16" s="18" t="s">
        <v>12</v>
      </c>
      <c r="F16" s="18" t="s">
        <v>29</v>
      </c>
      <c r="G16" s="107"/>
      <c r="H16" s="18" t="s">
        <v>28</v>
      </c>
      <c r="I16" s="18" t="s">
        <v>12</v>
      </c>
      <c r="J16" s="20" t="s">
        <v>29</v>
      </c>
      <c r="K16" s="18" t="s">
        <v>30</v>
      </c>
      <c r="L16" s="18" t="s">
        <v>26</v>
      </c>
      <c r="M16" s="18" t="s">
        <v>31</v>
      </c>
      <c r="N16" s="110"/>
      <c r="O16" s="110"/>
      <c r="P16" s="110"/>
      <c r="Q16" s="110"/>
    </row>
    <row r="17" spans="1:65" ht="204" customHeight="1" x14ac:dyDescent="0.25">
      <c r="A17" s="22" t="str">
        <f>[13]IdentRiesgo!A6</f>
        <v>*Deficiente definición de políticas de uso de las TI.
*Deficiencias en el desarrollo o adquisición de TI.
*Falta de una infraestructura tecnológica adecuada</v>
      </c>
      <c r="B17" s="22" t="str">
        <f>[13]IdentRiesgo!B6</f>
        <v xml:space="preserve">Pérdida de integridad y disponibilidad de la informacion </v>
      </c>
      <c r="C17" s="22" t="str">
        <f>[13]IdentRiesgo!D6</f>
        <v>*Falta de credibilidad y confianza de los usuarios y el publico en general. 
*Perdida de imagen y credibilidad del Instituto.</v>
      </c>
      <c r="D17" s="23">
        <f>IF([13]AnálisisRiesgo!B9&gt;0,5,IF([13]AnálisisRiesgo!C9&gt;0,4,IF([13]AnálisisRiesgo!D9&gt;0,3,IF([13]AnálisisRiesgo!E9&gt;0,2,IF([13]AnálisisRiesgo!F9&gt;0,1,"")))))</f>
        <v>2</v>
      </c>
      <c r="E17" s="23">
        <f>IF([13]AnálisisRiesgo!G9&gt;0,5,IF([13]AnálisisRiesgo!H9&gt;0,4,IF([13]AnálisisRiesgo!I9&gt;0,3,IF([13]AnálisisRiesgo!J9&gt;0,2,IF([13]AnálisisRiesgo!K9&gt;0,1,IF([13]AnálisisRiesgo!L9&gt;0,20,IF([13]AnálisisRiesgo!M9&gt;0,10,IF([13]AnálisisRiesgo!N9&gt;0,5,""))))))))</f>
        <v>20</v>
      </c>
      <c r="F17" s="23" t="str">
        <f>CONCATENATE(S17,T17,U17,V17,W17)</f>
        <v xml:space="preserve"> A   </v>
      </c>
      <c r="G17" s="23" t="s">
        <v>81</v>
      </c>
      <c r="H17" s="49"/>
      <c r="I17" s="26" t="s">
        <v>32</v>
      </c>
      <c r="J17" s="23" t="str">
        <f>CONCATENATE(Z17,AA17,AB17,AC17,AD17,AF17,AG17,AH17,AI17,AJ17,AM17,AN17,AO17,AP17,AQ17,AU17,AV17,AW17,AX17,AY17,BB17,BC17,BD17,BE17,BF17,BI17,BJ17,BK17,BL17,BM17)</f>
        <v xml:space="preserve">                B             </v>
      </c>
      <c r="K17" s="23" t="s">
        <v>116</v>
      </c>
      <c r="L17" s="23" t="s">
        <v>117</v>
      </c>
      <c r="M17" s="23" t="s">
        <v>118</v>
      </c>
      <c r="N17" s="27"/>
      <c r="O17" s="27"/>
      <c r="P17" s="27"/>
      <c r="Q17" s="29"/>
      <c r="S17" s="29" t="str">
        <f>IF(AND(D17=1,E17=5),$E$23,IF(AND(D17=1,E17=10),$F$23,IF(AND(D17=1,E17=20),$G$23," ")))</f>
        <v xml:space="preserve"> </v>
      </c>
      <c r="T17" s="29" t="str">
        <f>IF(AND(D17=2,E17=5),$E$24,IF(AND(D17=2,E17=10),$F$24,IF(AND(D17=2,E17=20),$G$24," ")))</f>
        <v>A</v>
      </c>
      <c r="U17" s="29" t="str">
        <f>IF(AND(D17=3,E17=5),$E$25,IF(AND(D17=3,E17=10),$F$25,IF(AND(D17=3,E17=20),$G$25," ")))</f>
        <v xml:space="preserve"> </v>
      </c>
      <c r="V17" s="29" t="str">
        <f>IF(AND(D17=4,E17=5),$E$26,IF(AND(D17=4,E17=10),$F$26,IF(AND(D17=4,E17=20),$G$26," ")))</f>
        <v xml:space="preserve"> </v>
      </c>
      <c r="W17" s="29" t="str">
        <f>IF(AND(D17=5,E17=5),$E$27,IF(AND(D17=5,E17=10),$F$27,IF(AND(D17=5,E17=20),$G$27," ")))</f>
        <v xml:space="preserve"> </v>
      </c>
      <c r="Y17" s="30" t="s">
        <v>35</v>
      </c>
      <c r="Z17" s="29" t="str">
        <f>IF(AND(H17&gt;0,'[13]EvaluaciónRiesgoCorrup R1'!$F$11&gt;75,D17=1,E17=5),$E$23,IF(AND(H17&gt;0,'[13]EvaluaciónRiesgoCorrup R1'!$F$11&gt;75,D17=1,E17=10),$F$23,IF(AND(H17&gt;0,'[13]EvaluaciónRiesgoCorrup R1'!$F$11&gt;75,D17=1,E17=20),$G$23," ")))</f>
        <v xml:space="preserve"> </v>
      </c>
      <c r="AA17" s="29" t="str">
        <f>IF(AND(H17&gt;0,'[13]EvaluaciónRiesgoCorrup R1'!$F$11&gt;75,D17=2,E17=5),$E$23,IF(AND(H17&gt;0,'[13]EvaluaciónRiesgoCorrup R1'!$F$11&gt;75,D17=2,E17=10),$F$23,IF(AND(H17&gt;0,'[13]EvaluaciónRiesgoCorrup R1'!$F$11&gt;75,D17=2,E17=20),$G$23," ")))</f>
        <v xml:space="preserve"> </v>
      </c>
      <c r="AB17" s="29" t="str">
        <f>IF(AND(H17&gt;0,'[13]EvaluaciónRiesgoCorrup R1'!$F$11&gt;75,D17=3,E17=5),$E$23,IF(AND(H17&gt;0,'[13]EvaluaciónRiesgoCorrup R1'!$F$11&gt;75,D17=3,E17=10),$F$23,IF(AND(H17&gt;0,'[13]EvaluaciónRiesgoCorrup R1'!$F$11&gt;75,D17=3,E17=20),$G$23," ")))</f>
        <v xml:space="preserve"> </v>
      </c>
      <c r="AC17" s="29" t="str">
        <f>IF(AND(H17&gt;0,'[13]EvaluaciónRiesgoCorrup R1'!$F$11&gt;75,D17=4,E17=5),$E$24,IF(AND(H17&gt;0,'[13]EvaluaciónRiesgoCorrup R1'!$F$11&gt;75,D17=4,E17=10),$F$24,IF(AND(H17&gt;0,'[13]EvaluaciónRiesgoCorrup R1'!$F$11&gt;75,D17=4,E17=20),$G$24," ")))</f>
        <v xml:space="preserve"> </v>
      </c>
      <c r="AD17" s="29" t="str">
        <f>IF(AND(H17&gt;0,'[13]EvaluaciónRiesgoCorrup R1'!$F$11&gt;75,D17=5,E17=5),$E$25,IF(AND(H17&gt;0,'[13]EvaluaciónRiesgoCorrup R1'!$F$11&gt;75,D17=5,E17=10),$F$25,IF(AND(H17&gt;0,'[13]EvaluaciónRiesgoCorrup R1'!$F$11&gt;75,D17=5,E17=20),$G$25," ")))</f>
        <v xml:space="preserve"> </v>
      </c>
      <c r="AE17" s="30" t="s">
        <v>36</v>
      </c>
      <c r="AF17" s="29" t="str">
        <f>IF(AND(H17&gt;0,'[13]EvaluaciónRiesgoCorrup R1'!$F$11&gt;50,'[13]EvaluaciónRiesgoCorrup R1'!$F$11&lt;76,D17=1,E17=5),$E$23,IF(AND(H17&gt;0,'[13]EvaluaciónRiesgoCorrup R1'!$F$11&gt;50,'[13]EvaluaciónRiesgoCorrup R1'!$F$11&lt;76,D17=1,E17=10),$F$23,IF(AND(H17&gt;0,'[13]EvaluaciónRiesgoCorrup R1'!$F$11&gt;50,'[13]EvaluaciónRiesgoCorrup R1'!$F$11&lt;76,D17=1,E17=20),$G$23," ")))</f>
        <v xml:space="preserve"> </v>
      </c>
      <c r="AG17" s="29" t="str">
        <f>IF(AND(H17&gt;0,'[13]EvaluaciónRiesgoCorrup R1'!$F$11&gt;50,'[13]EvaluaciónRiesgoCorrup R1'!$F$11&lt;76,D17=2,E17=5),$E$23,IF(AND(H17&gt;0,'[13]EvaluaciónRiesgoCorrup R1'!$F$11&gt;50,'[13]EvaluaciónRiesgoCorrup R1'!$F$11&lt;76,D17=2,E17=10),$F$23,IF(AND(H17&gt;0,'[13]EvaluaciónRiesgoCorrup R1'!$F$11&gt;50,'[13]EvaluaciónRiesgoCorrup R1'!$F$11&lt;76,D17=2,E17=20),$G$23," ")))</f>
        <v xml:space="preserve"> </v>
      </c>
      <c r="AH17" s="29" t="str">
        <f>IF(AND(H17&gt;0,'[13]EvaluaciónRiesgoCorrup R1'!$F$11&gt;50,'[13]EvaluaciónRiesgoCorrup R1'!$F$11&lt;76,D17=3,E17=5),$E$24,IF(AND(H17&gt;0,'[13]EvaluaciónRiesgoCorrup R1'!$F$11&gt;50,'[13]EvaluaciónRiesgoCorrup R1'!$F$11&lt;76,D17=3,E17=10),$F$24,IF(AND(H17&gt;0,'[13]EvaluaciónRiesgoCorrup R1'!$F$11&gt;50,'[13]EvaluaciónRiesgoCorrup R1'!$F$11&lt;76,D17=3,E17=20),$G$24," ")))</f>
        <v xml:space="preserve"> </v>
      </c>
      <c r="AI17" s="29" t="str">
        <f>IF(AND(H17&gt;0,'[13]EvaluaciónRiesgoCorrup R1'!$F$11&gt;50,'[13]EvaluaciónRiesgoCorrup R1'!$F$11&lt;76,D17=4,E17=5),$E$25,IF(AND(H17&gt;0,'[13]EvaluaciónRiesgoCorrup R1'!$F$11&gt;50,'[13]EvaluaciónRiesgoCorrup R1'!$F$11&lt;76,D17=4,E17=10),$F$25,IF(AND(H17&gt;0,'[13]EvaluaciónRiesgoCorrup R1'!$F$11&gt;50,'[13]EvaluaciónRiesgoCorrup R1'!$F$11&lt;76,D17=4,E17=20),$G$25," ")))</f>
        <v xml:space="preserve"> </v>
      </c>
      <c r="AJ17" s="29" t="str">
        <f>IF(AND(H17&gt;0,'[13]EvaluaciónRiesgoCorrup R1'!$F$11&gt;50,'[13]EvaluaciónRiesgoCorrup R1'!$F$11&lt;76,D17=5,E17=5),$E$26,IF(AND(H17&gt;0,'[13]EvaluaciónRiesgoCorrup R1'!$F$11&gt;50,'[13]EvaluaciónRiesgoCorrup R1'!$F$11&lt;76,D17=5,E17=10),$F$26,IF(AND(H17&gt;0,'[13]EvaluaciónRiesgoCorrup R1'!$F$11&gt;50,'[13]EvaluaciónRiesgoCorrup R1'!$F$11&lt;76,D17=5,E17=20),$G$26," ")))</f>
        <v xml:space="preserve"> </v>
      </c>
      <c r="AL17" s="30" t="s">
        <v>37</v>
      </c>
      <c r="AM17" s="29" t="str">
        <f>IF(AND(H17&gt;0,'[13]EvaluaciónRiesgoCorrup R1'!$F$11&lt;51,D17=1,E17=5),$E$23,IF(AND(H17&gt;0,'[13]EvaluaciónRiesgoCorrup R1'!$F$11&lt;51,D17=1,E17=10),$F$23,IF(AND(H17&gt;0,'[13]EvaluaciónRiesgoCorrup R1'!$F$11&lt;51,D17=1,E17=20),G$23," ")))</f>
        <v xml:space="preserve"> </v>
      </c>
      <c r="AN17" s="29" t="str">
        <f>IF(AND(H17&gt;0,'[13]EvaluaciónRiesgoCorrup R1'!$F$11&lt;51,D17=2,E17=5),$E$24,IF(AND(H17&gt;0,'[13]EvaluaciónRiesgoCorrup R1'!$F$11&lt;51,D17=2,E17=10),$F$24,IF(AND(H17&gt;0,'[13]EvaluaciónRiesgoCorrup R1'!$F$11&lt;51,D17=2,E17=20),G$24," ")))</f>
        <v xml:space="preserve"> </v>
      </c>
      <c r="AO17" s="29" t="str">
        <f>IF(AND(H17&gt;0,'[13]EvaluaciónRiesgoCorrup R1'!$F$11&lt;51,D17=3,E17=5),$E$25,IF(AND(H17&gt;0,'[13]EvaluaciónRiesgoCorrup R1'!$F$11&lt;51,D17=3,E17=10),$F$25,IF(AND(H17&gt;0,'[13]EvaluaciónRiesgoCorrup R1'!$F$11&lt;51,D17=3,E17=20),G$25," ")))</f>
        <v xml:space="preserve"> </v>
      </c>
      <c r="AP17" s="29" t="str">
        <f>IF(AND(H17&gt;0,'[13]EvaluaciónRiesgoCorrup R1'!$F$11&lt;51,D17=4,E17=5),$E$26,IF(AND(H17&gt;0,'[13]EvaluaciónRiesgoCorrup R1'!$F$11&lt;51,D17=4,E17=10),$F$26,IF(AND(H17&gt;0,'[13]EvaluaciónRiesgoCorrup R1'!$F$11&lt;51,D17=4,E17=20),G$26," ")))</f>
        <v xml:space="preserve"> </v>
      </c>
      <c r="AQ17" s="29" t="str">
        <f>IF(AND(H17&gt;0,'[13]EvaluaciónRiesgoCorrup R1'!$F$11&lt;51,D17=5,E17=5),$E$27,IF(AND(H17&gt;0,'[13]EvaluaciónRiesgoCorrup R1'!$F$11&lt;51,D17=5,E17=10),$F$27,IF(AND(H17&gt;0,'[13]EvaluaciónRiesgoCorrup R1'!$F$11&lt;51,D17=5,E17=20),G$27," ")))</f>
        <v xml:space="preserve"> </v>
      </c>
      <c r="AT17" s="30" t="s">
        <v>35</v>
      </c>
      <c r="AU17" s="29" t="str">
        <f>IF(AND(I17&gt;0,'[13]EvaluaciónRiesgoCorrup R1'!$F$11&gt;75,D17=1,E17=5),$E$23,IF(AND(I17&gt;0,'[13]EvaluaciónRiesgoCorrup R1'!$F$11&gt;75,D17=1,E17=10),$E$23,IF(AND(I17&gt;0,'[13]EvaluaciónRiesgoCorrup R1'!$F$11&gt;75,D17=1,E17=20),$E$23," ")))</f>
        <v xml:space="preserve"> </v>
      </c>
      <c r="AV17" s="29" t="str">
        <f>IF(AND(I17&gt;0,'[13]EvaluaciónRiesgoCorrup R1'!$F$11&gt;75,D17=2,E17=5),$E$24,IF(AND(I17&gt;0,'[13]EvaluaciónRiesgoCorrup R1'!$F$11&gt;75,D17=2,E17=10),$E$24,IF(AND(I17&gt;0,'[13]EvaluaciónRiesgoCorrup R1'!$F$11&gt;75,D17=2,E17=20),$E$24," ")))</f>
        <v>B</v>
      </c>
      <c r="AW17" s="29" t="str">
        <f>IF(AND(I17&gt;0,'[13]EvaluaciónRiesgoCorrup R1'!$F$11&gt;75,D17=3,E17=5),$E$25,IF(AND(I17&gt;0,'[13]EvaluaciónRiesgoCorrup R1'!$F$11&gt;75,D17=3,E17=10),$E$25,IF(AND(I17&gt;0,'[13]EvaluaciónRiesgoCorrup R1'!$F$11&gt;75,D17=3,E17=20),$E$25," ")))</f>
        <v xml:space="preserve"> </v>
      </c>
      <c r="AX17" s="29" t="str">
        <f>IF(AND(I17&gt;0,'[13]EvaluaciónRiesgoCorrup R1'!$F$11&gt;75,D17=4,E17=5),$E$26,IF(AND(I17&gt;0,'[13]EvaluaciónRiesgoCorrup R1'!$F$11&gt;75,D17=4,E17=10),$E$26,IF(AND(I17&gt;0,'[13]EvaluaciónRiesgoCorrup R1'!$F$11&gt;75,D17=4,E17=20),$E$26," ")))</f>
        <v xml:space="preserve"> </v>
      </c>
      <c r="AY17" s="29" t="str">
        <f>IF(AND(I17&gt;0,'[13]EvaluaciónRiesgoCorrup R1'!$F$11&gt;75,D17=5,E17=5),$E$27,IF(AND(I17&gt;0,'[13]EvaluaciónRiesgoCorrup R1'!$F$11&gt;75,D17=5,E17=10),$E$27,IF(AND(I17&gt;0,'[13]EvaluaciónRiesgoCorrup R1'!$F$11&gt;75,D17=5,E17=20),$E$27," ")))</f>
        <v xml:space="preserve"> </v>
      </c>
      <c r="BA17" s="30" t="s">
        <v>36</v>
      </c>
      <c r="BB17" s="29" t="str">
        <f>IF(AND(I17&gt;0,'[13]EvaluaciónRiesgoCorrup R1'!$F$11&gt;50,'[13]EvaluaciónRiesgoCorrup R1'!$F$11&lt;76,D17=1,E17=5),$E$23,IF(AND(I17&gt;0,'[13]EvaluaciónRiesgoCorrup R1'!$F$11&gt;50,'[13]EvaluaciónRiesgoCorrup R1'!$F$11&lt;76,D17=1,E17=10),$E$23,IF(AND(I17&gt;0,'[13]EvaluaciónRiesgoCorrup R1'!$F$11&gt;50,'[13]EvaluaciónRiesgoCorrup R1'!$F$11&lt;76,D17=1,E17=20),$F$23," ")))</f>
        <v xml:space="preserve"> </v>
      </c>
      <c r="BC17" s="29" t="str">
        <f>IF(AND(I17&gt;0,'[13]EvaluaciónRiesgoCorrup R1'!$F$11&gt;50,'[13]EvaluaciónRiesgoCorrup R1'!$F$11&lt;76,D17=2,E17=5),$E$24,IF(AND(I17&gt;0,'[13]EvaluaciónRiesgoCorrup R1'!$F$11&gt;50,'[13]EvaluaciónRiesgoCorrup R1'!$F$11&lt;76,D17=2,E17=10),$E$24,IF(AND(I17&gt;0,'[13]EvaluaciónRiesgoCorrup R1'!$F$11&gt;50,'[13]EvaluaciónRiesgoCorrup R1'!$F$11&lt;76,D17=2,E17=20),$F$24," ")))</f>
        <v xml:space="preserve"> </v>
      </c>
      <c r="BD17" s="29" t="str">
        <f>IF(AND(I17&gt;0,'[13]EvaluaciónRiesgoCorrup R1'!$F$11&gt;50,'[13]EvaluaciónRiesgoCorrup R1'!$F$11&lt;76,D17=3,E17=5),$E$25,IF(AND(I17&gt;0,'[13]EvaluaciónRiesgoCorrup R1'!$F$11&gt;50,'[13]EvaluaciónRiesgoCorrup R1'!$F$11&lt;76,D17=3,E17=10),$E$25,IF(AND(I17&gt;0,'[13]EvaluaciónRiesgoCorrup R1'!$F$11&gt;50,'[13]EvaluaciónRiesgoCorrup R1'!$F$11&lt;76,D17=3,E17=20),$F$25," ")))</f>
        <v xml:space="preserve"> </v>
      </c>
      <c r="BE17" s="29" t="str">
        <f>IF(AND(I17&gt;0,'[13]EvaluaciónRiesgoCorrup R1'!$F$11&gt;50,'[13]EvaluaciónRiesgoCorrup R1'!$F$11&lt;76,D17=4,E17=5),$E$26,IF(AND(I17&gt;0,'[13]EvaluaciónRiesgoCorrup R1'!$F$11&gt;50,'[13]EvaluaciónRiesgoCorrup R1'!$F$11&lt;76,D17=4,E17=10),$E$26,IF(AND(I17&gt;0,'[13]EvaluaciónRiesgoCorrup R1'!$F$11&gt;50,'[13]EvaluaciónRiesgoCorrup R1'!$F$11&lt;76,D17=4,E17=20),$F$26," ")))</f>
        <v xml:space="preserve"> </v>
      </c>
      <c r="BF17" s="29" t="str">
        <f>IF(AND(I17&gt;0,'[13]EvaluaciónRiesgoCorrup R1'!$F$11&gt;50,'[13]EvaluaciónRiesgoCorrup R1'!$F$11&lt;76,D17=5,E17=5),$E$27,IF(AND(I17&gt;0,'[13]EvaluaciónRiesgoCorrup R1'!$F$11&gt;50,'[13]EvaluaciónRiesgoCorrup R1'!$F$11&lt;76,D17=5,E17=10),$E$27,IF(AND(I17&gt;0,'[13]EvaluaciónRiesgoCorrup R1'!$F$11&gt;50,'[13]EvaluaciónRiesgoCorrup R1'!$F$11&lt;76,D17=5,E17=20),$F$27," ")))</f>
        <v xml:space="preserve"> </v>
      </c>
      <c r="BH17" s="30" t="s">
        <v>37</v>
      </c>
      <c r="BI17" s="29" t="str">
        <f>IF(AND(I17&gt;0,'[13]EvaluaciónRiesgoCorrup R1'!$F$11&lt;51,D17=1,E17=5),$E$23,IF(AND(I17&gt;0,'[13]EvaluaciónRiesgoCorrup R1'!$F$11&lt;51,D17=1,E17=10),$F$23,IF(AND(I17&gt;0,'[13]EvaluaciónRiesgoCorrup R1'!$F$11&lt;51,D17=1,E17=20),$G$23," ")))</f>
        <v xml:space="preserve"> </v>
      </c>
      <c r="BJ17" s="29" t="str">
        <f>IF(AND(I17&gt;0,'[13]EvaluaciónRiesgoCorrup R1'!$F$11&lt;51,D17=2,E17=5),$E$24,IF(AND(I17&gt;0,'[13]EvaluaciónRiesgoCorrup R1'!$F$11&lt;51,D17=2,E17=10),$F$24,IF(AND(I17&gt;0,'[13]EvaluaciónRiesgoCorrup R1'!$F$11&lt;51,D17=2,E17=20),$G$24," ")))</f>
        <v xml:space="preserve"> </v>
      </c>
      <c r="BK17" s="29" t="str">
        <f>IF(AND(I17&gt;0,'[13]EvaluaciónRiesgoCorrup R1'!$F$11&lt;51,D17=3,E17=5),$E$25,IF(AND(I17&gt;0,'[13]EvaluaciónRiesgoCorrup R1'!$F$11&lt;51,D17=3,E17=10),$F$25,IF(AND(I17&gt;0,'[13]EvaluaciónRiesgoCorrup R1'!$F$11&lt;51,D17=3,E17=20),$G$25," ")))</f>
        <v xml:space="preserve"> </v>
      </c>
      <c r="BL17" s="29" t="str">
        <f>IF(AND(I17&gt;0,'[13]EvaluaciónRiesgoCorrup R1'!$F$11&lt;51,D17=4,E17=5),$E$26,IF(AND(I17&gt;0,'[13]EvaluaciónRiesgoCorrup R1'!$F$11&lt;51,D17=4,E17=10),$F$26,IF(AND(I17&gt;0,'[13]EvaluaciónRiesgoCorrup R1'!$F$11&lt;51,D17=4,E17=20),$G$26," ")))</f>
        <v xml:space="preserve"> </v>
      </c>
      <c r="BM17" s="29" t="str">
        <f>IF(AND(I17&gt;0,'[13]EvaluaciónRiesgoCorrup R1'!$F$11&lt;51,D17=5,E17=5),$E$27,IF(AND(I17&gt;0,'[13]EvaluaciónRiesgoCorrup R1'!$F$11&lt;51,D17=5,E17=10),$F$27,IF(AND(I17&gt;0,'[13]EvaluaciónRiesgoCorrup R1'!$F$11&lt;51,D17=5,E17=20),$G$27," ")))</f>
        <v xml:space="preserve"> </v>
      </c>
    </row>
    <row r="18" spans="1:65" ht="153.75" customHeight="1" x14ac:dyDescent="0.25">
      <c r="A18" s="29"/>
      <c r="B18" s="29"/>
      <c r="C18" s="29"/>
      <c r="D18" s="23" t="str">
        <f>IF([13]AnálisisRiesgo!B10&gt;0,5,IF([13]AnálisisRiesgo!C10&gt;0,4,IF([13]AnálisisRiesgo!D10&gt;0,3,IF([13]AnálisisRiesgo!E10&gt;0,2,IF([13]AnálisisRiesgo!F10&gt;0,1,"")))))</f>
        <v/>
      </c>
      <c r="E18" s="23" t="str">
        <f>IF([13]AnálisisRiesgo!G10&gt;0,5,IF([13]AnálisisRiesgo!H10&gt;0,4,IF([13]AnálisisRiesgo!I10&gt;0,3,IF([13]AnálisisRiesgo!J10&gt;0,2,IF([13]AnálisisRiesgo!K10&gt;0,1,IF([13]AnálisisRiesgo!L10&gt;0,20,IF([13]AnálisisRiesgo!M10&gt;0,10,IF([13]AnálisisRiesgo!N10&gt;0,5,""))))))))</f>
        <v/>
      </c>
      <c r="F18" s="23" t="str">
        <f t="shared" ref="F18" si="0">CONCATENATE(S18,T18,U18,V18,W18)</f>
        <v xml:space="preserve">     </v>
      </c>
      <c r="G18" s="23"/>
      <c r="H18" s="49"/>
      <c r="I18" s="26"/>
      <c r="J18" s="23" t="str">
        <f t="shared" ref="J18" si="1">CONCATENATE(Z18,AA18,AB18,AC18,AD18,AF18,AG18,AH18,AI18,AJ18,AM18,AN18,AO18,AP18,AQ18,AU18,AV18,AW18,AX18,AY18,BB18,BC18,BD18,BE18,BF18,BI18,BJ18,BK18,BL18,BM18)</f>
        <v xml:space="preserve">                              </v>
      </c>
      <c r="K18" s="23"/>
      <c r="L18" s="23"/>
      <c r="M18" s="23"/>
      <c r="N18" s="27"/>
      <c r="O18" s="27"/>
      <c r="P18" s="27"/>
      <c r="Q18" s="29"/>
      <c r="S18" s="29" t="str">
        <f>IF(AND(D18=1,E18=5),$E$23,IF(AND(D18=1,E18=10),$F$23,IF(AND(D18=1,E18=20),$G$23," ")))</f>
        <v xml:space="preserve"> </v>
      </c>
      <c r="T18" s="29" t="str">
        <f>IF(AND(D18=2,E18=5),$E$24,IF(AND(D18=2,E18=10),$F$24,IF(AND(D18=2,E18=20),$G$24," ")))</f>
        <v xml:space="preserve"> </v>
      </c>
      <c r="U18" s="29" t="str">
        <f>IF(AND(D18=3,E18=5),$E$25,IF(AND(D18=3,E18=10),$F$25,IF(AND(D18=3,E18=20),$G$25," ")))</f>
        <v xml:space="preserve"> </v>
      </c>
      <c r="V18" s="29" t="str">
        <f>IF(AND(D18=4,E18=5),$E$26,IF(AND(D18=4,E18=10),$F$26,IF(AND(D18=4,E18=20),$G$26," ")))</f>
        <v xml:space="preserve"> </v>
      </c>
      <c r="W18" s="29" t="str">
        <f>IF(AND(D18=5,E18=5),$E$27,IF(AND(D18=5,E18=10),$F$27,IF(AND(D18=5,E18=20),$G$27," ")))</f>
        <v xml:space="preserve"> </v>
      </c>
      <c r="Z18" s="29" t="str">
        <f>IF(AND(H18&gt;0,'[13]EvaluaciónRiesgoCorrup R1'!$F$11&gt;75,D18=1,E18=5),$E$23,IF(AND(H18&gt;0,'[13]EvaluaciónRiesgoCorrup R1'!$F$11&gt;75,D18=1,E18=10),$F$23,IF(AND(H18&gt;0,'[13]EvaluaciónRiesgoCorrup R1'!$F$11&gt;75,D18=1,E18=20),$G$23," ")))</f>
        <v xml:space="preserve"> </v>
      </c>
      <c r="AA18" s="29" t="str">
        <f>IF(AND(H18&gt;0,'[13]EvaluaciónRiesgoCorrup R1'!$F$11&gt;75,D18=2,E18=5),$E$23,IF(AND(H18&gt;0,'[13]EvaluaciónRiesgoCorrup R1'!$F$11&gt;75,D18=2,E18=10),$F$23,IF(AND(H18&gt;0,'[13]EvaluaciónRiesgoCorrup R1'!$F$11&gt;75,D18=2,E18=20),$G$23," ")))</f>
        <v xml:space="preserve"> </v>
      </c>
      <c r="AB18" s="29" t="str">
        <f>IF(AND(H18&gt;0,'[13]EvaluaciónRiesgoCorrup R1'!$F$11&gt;75,D18=3,E18=5),$E$23,IF(AND(H18&gt;0,'[13]EvaluaciónRiesgoCorrup R1'!$F$11&gt;75,D18=3,E18=10),$F$23,IF(AND(H18&gt;0,'[13]EvaluaciónRiesgoCorrup R1'!$F$11&gt;75,D18=3,E18=20),$G$23," ")))</f>
        <v xml:space="preserve"> </v>
      </c>
      <c r="AC18" s="29" t="str">
        <f>IF(AND(H18&gt;0,'[13]EvaluaciónRiesgoCorrup R1'!$F$11&gt;75,D18=4,E18=5),$E$24,IF(AND(H18&gt;0,'[13]EvaluaciónRiesgoCorrup R1'!$F$11&gt;75,D18=4,E18=10),$F$24,IF(AND(H18&gt;0,'[13]EvaluaciónRiesgoCorrup R1'!$F$11&gt;75,D18=4,E18=20),$G$24," ")))</f>
        <v xml:space="preserve"> </v>
      </c>
      <c r="AD18" s="29" t="str">
        <f>IF(AND(H18&gt;0,'[13]EvaluaciónRiesgoCorrup R1'!$F$11&gt;75,D18=5,E18=5),$E$25,IF(AND(H18&gt;0,'[13]EvaluaciónRiesgoCorrup R1'!$F$11&gt;75,D18=5,E18=10),$F$25,IF(AND(H18&gt;0,'[13]EvaluaciónRiesgoCorrup R1'!$F$11&gt;75,D18=5,E18=20),$G$25," ")))</f>
        <v xml:space="preserve"> </v>
      </c>
      <c r="AF18" s="29" t="str">
        <f>IF(AND(H18&gt;0,'[13]EvaluaciónRiesgoCorrup R1'!$F$11&gt;50,'[13]EvaluaciónRiesgoCorrup R1'!$F$11&lt;76,D18=1,E18=5),$E$23,IF(AND(H18&gt;0,'[13]EvaluaciónRiesgoCorrup R1'!$F$11&gt;50,'[13]EvaluaciónRiesgoCorrup R1'!$F$11&lt;76,D18=1,E18=10),$F$23,IF(AND(H18&gt;0,'[13]EvaluaciónRiesgoCorrup R1'!$F$11&gt;50,'[13]EvaluaciónRiesgoCorrup R1'!$F$11&lt;76,D18=1,E18=20),$G$23," ")))</f>
        <v xml:space="preserve"> </v>
      </c>
      <c r="AG18" s="29" t="str">
        <f>IF(AND(H18&gt;0,'[13]EvaluaciónRiesgoCorrup R1'!$F$11&gt;50,'[13]EvaluaciónRiesgoCorrup R1'!$F$11&lt;76,D18=2,E18=5),$E$23,IF(AND(H18&gt;0,'[13]EvaluaciónRiesgoCorrup R1'!$F$11&gt;50,'[13]EvaluaciónRiesgoCorrup R1'!$F$11&lt;76,D18=2,E18=10),$F$23,IF(AND(H18&gt;0,'[13]EvaluaciónRiesgoCorrup R1'!$F$11&gt;50,'[13]EvaluaciónRiesgoCorrup R1'!$F$11&lt;76,D18=2,E18=20),$G$23," ")))</f>
        <v xml:space="preserve"> </v>
      </c>
      <c r="AH18" s="29" t="str">
        <f>IF(AND(H18&gt;0,'[13]EvaluaciónRiesgoCorrup R1'!$F$11&gt;50,'[13]EvaluaciónRiesgoCorrup R1'!$F$11&lt;76,D18=3,E18=5),$E$24,IF(AND(H18&gt;0,'[13]EvaluaciónRiesgoCorrup R1'!$F$11&gt;50,'[13]EvaluaciónRiesgoCorrup R1'!$F$11&lt;76,D18=3,E18=10),$F$24,IF(AND(H18&gt;0,'[13]EvaluaciónRiesgoCorrup R1'!$F$11&gt;50,'[13]EvaluaciónRiesgoCorrup R1'!$F$11&lt;76,D18=3,E18=20),$G$24," ")))</f>
        <v xml:space="preserve"> </v>
      </c>
      <c r="AI18" s="29" t="str">
        <f>IF(AND(H18&gt;0,'[13]EvaluaciónRiesgoCorrup R1'!$F$11&gt;50,'[13]EvaluaciónRiesgoCorrup R1'!$F$11&lt;76,D18=4,E18=5),$E$25,IF(AND(H18&gt;0,'[13]EvaluaciónRiesgoCorrup R1'!$F$11&gt;50,'[13]EvaluaciónRiesgoCorrup R1'!$F$11&lt;76,D18=4,E18=10),$F$25,IF(AND(H18&gt;0,'[13]EvaluaciónRiesgoCorrup R1'!$F$11&gt;50,'[13]EvaluaciónRiesgoCorrup R1'!$F$11&lt;76,D18=4,E18=20),$G$25," ")))</f>
        <v xml:space="preserve"> </v>
      </c>
      <c r="AJ18" s="29" t="str">
        <f>IF(AND(H18&gt;0,'[13]EvaluaciónRiesgoCorrup R1'!$F$11&gt;50,'[13]EvaluaciónRiesgoCorrup R1'!$F$11&lt;76,D18=5,E18=5),$E$26,IF(AND(H18&gt;0,'[13]EvaluaciónRiesgoCorrup R1'!$F$11&gt;50,'[13]EvaluaciónRiesgoCorrup R1'!$F$11&lt;76,D18=5,E18=10),$F$26,IF(AND(H18&gt;0,'[13]EvaluaciónRiesgoCorrup R1'!$F$11&gt;50,'[13]EvaluaciónRiesgoCorrup R1'!$F$11&lt;76,D18=5,E18=20),$G$26," ")))</f>
        <v xml:space="preserve"> </v>
      </c>
      <c r="AM18" s="29" t="str">
        <f>IF(AND(H18&gt;0,'[13]EvaluaciónRiesgoCorrup R1'!$F$11&lt;51,D18=1,E18=5),$E$23,IF(AND(H18&gt;0,'[13]EvaluaciónRiesgoCorrup R1'!$F$11&lt;51,D18=1,E18=10),$F$23,IF(AND(H18&gt;0,'[13]EvaluaciónRiesgoCorrup R1'!$F$11&lt;51,D18=1,E18=20),G$23," ")))</f>
        <v xml:space="preserve"> </v>
      </c>
      <c r="AN18" s="29" t="str">
        <f>IF(AND(H18&gt;0,'[13]EvaluaciónRiesgoCorrup R1'!$F$11&lt;51,D18=2,E18=5),$E$24,IF(AND(H18&gt;0,'[13]EvaluaciónRiesgoCorrup R1'!$F$11&lt;51,D18=2,E18=10),$F$24,IF(AND(H18&gt;0,'[13]EvaluaciónRiesgoCorrup R1'!$F$11&lt;51,D18=2,E18=20),G$24," ")))</f>
        <v xml:space="preserve"> </v>
      </c>
      <c r="AO18" s="29" t="str">
        <f>IF(AND(H18&gt;0,'[13]EvaluaciónRiesgoCorrup R1'!$F$11&lt;51,D18=3,E18=5),$E$25,IF(AND(H18&gt;0,'[13]EvaluaciónRiesgoCorrup R1'!$F$11&lt;51,D18=3,E18=10),$F$25,IF(AND(H18&gt;0,'[13]EvaluaciónRiesgoCorrup R1'!$F$11&lt;51,D18=3,E18=20),G$25," ")))</f>
        <v xml:space="preserve"> </v>
      </c>
      <c r="AP18" s="29" t="str">
        <f>IF(AND(H18&gt;0,'[13]EvaluaciónRiesgoCorrup R1'!$F$11&lt;51,D18=4,E18=5),$E$26,IF(AND(H18&gt;0,'[13]EvaluaciónRiesgoCorrup R1'!$F$11&lt;51,D18=4,E18=10),$F$26,IF(AND(H18&gt;0,'[13]EvaluaciónRiesgoCorrup R1'!$F$11&lt;51,D18=4,E18=20),G$26," ")))</f>
        <v xml:space="preserve"> </v>
      </c>
      <c r="AQ18" s="29" t="str">
        <f>IF(AND(H18&gt;0,'[13]EvaluaciónRiesgoCorrup R1'!$F$11&lt;51,D18=5,E18=5),$E$27,IF(AND(H18&gt;0,'[13]EvaluaciónRiesgoCorrup R1'!$F$11&lt;51,D18=5,E18=10),$F$27,IF(AND(H18&gt;0,'[13]EvaluaciónRiesgoCorrup R1'!$F$11&lt;51,D18=5,E18=20),G$27," ")))</f>
        <v xml:space="preserve"> </v>
      </c>
      <c r="AU18" s="29" t="str">
        <f>IF(AND(I18&gt;0,'[13]EvaluaciónRiesgoCorrup R1'!$F$11&gt;75,D18=1,E18=5),$E$23,IF(AND(I18&gt;0,'[13]EvaluaciónRiesgoCorrup R1'!$F$11&gt;75,D18=1,E18=10),$E$23,IF(AND(I18&gt;0,'[13]EvaluaciónRiesgoCorrup R1'!$F$11&gt;75,D18=1,E18=20),$E$23," ")))</f>
        <v xml:space="preserve"> </v>
      </c>
      <c r="AV18" s="29" t="str">
        <f>IF(AND(I18&gt;0,'[13]EvaluaciónRiesgoCorrup R1'!$F$11&gt;75,D18=2,E18=5),$E$24,IF(AND(I18&gt;0,'[13]EvaluaciónRiesgoCorrup R1'!$F$11&gt;75,D18=2,E18=10),$E$24,IF(AND(I18&gt;0,'[13]EvaluaciónRiesgoCorrup R1'!$F$11&gt;75,D18=2,E18=20),$E$24," ")))</f>
        <v xml:space="preserve"> </v>
      </c>
      <c r="AW18" s="29" t="str">
        <f>IF(AND(I18&gt;0,'[13]EvaluaciónRiesgoCorrup R1'!$F$11&gt;75,D18=3,E18=5),$E$25,IF(AND(I18&gt;0,'[13]EvaluaciónRiesgoCorrup R1'!$F$11&gt;75,D18=3,E18=10),$E$25,IF(AND(I18&gt;0,'[13]EvaluaciónRiesgoCorrup R1'!$F$11&gt;75,D18=3,E18=20),$E$25," ")))</f>
        <v xml:space="preserve"> </v>
      </c>
      <c r="AX18" s="29" t="str">
        <f>IF(AND(I18&gt;0,'[13]EvaluaciónRiesgoCorrup R1'!$F$11&gt;75,D18=4,E18=5),$E$26,IF(AND(I18&gt;0,'[13]EvaluaciónRiesgoCorrup R1'!$F$11&gt;75,D18=4,E18=10),$E$26,IF(AND(I18&gt;0,'[13]EvaluaciónRiesgoCorrup R1'!$F$11&gt;75,D18=4,E18=20),$E$26," ")))</f>
        <v xml:space="preserve"> </v>
      </c>
      <c r="AY18" s="29" t="str">
        <f>IF(AND(I18&gt;0,'[13]EvaluaciónRiesgoCorrup R1'!$F$11&gt;75,D18=5,E18=5),$E$27,IF(AND(I18&gt;0,'[13]EvaluaciónRiesgoCorrup R1'!$F$11&gt;75,D18=5,E18=10),$E$27,IF(AND(I18&gt;0,'[13]EvaluaciónRiesgoCorrup R1'!$F$11&gt;75,D18=5,E18=20),$E$27," ")))</f>
        <v xml:space="preserve"> </v>
      </c>
      <c r="BB18" s="29" t="str">
        <f>IF(AND(I18&gt;0,'[13]EvaluaciónRiesgoCorrup R1'!$F$11&gt;50,'[13]EvaluaciónRiesgoCorrup R1'!$F$11&lt;76,D18=1,E18=5),$E$23,IF(AND(I18&gt;0,'[13]EvaluaciónRiesgoCorrup R1'!$F$11&gt;50,'[13]EvaluaciónRiesgoCorrup R1'!$F$11&lt;76,D18=1,E18=10),$E$23,IF(AND(I18&gt;0,'[13]EvaluaciónRiesgoCorrup R1'!$F$11&gt;50,'[13]EvaluaciónRiesgoCorrup R1'!$F$11&lt;76,D18=1,E18=20),$F$23," ")))</f>
        <v xml:space="preserve"> </v>
      </c>
      <c r="BC18" s="29" t="str">
        <f>IF(AND(I18&gt;0,'[13]EvaluaciónRiesgoCorrup R1'!$F$11&gt;50,'[13]EvaluaciónRiesgoCorrup R1'!$F$11&lt;76,D18=2,E18=5),$E$24,IF(AND(I18&gt;0,'[13]EvaluaciónRiesgoCorrup R1'!$F$11&gt;50,'[13]EvaluaciónRiesgoCorrup R1'!$F$11&lt;76,D18=2,E18=10),$E$24,IF(AND(I18&gt;0,'[13]EvaluaciónRiesgoCorrup R1'!$F$11&gt;50,'[13]EvaluaciónRiesgoCorrup R1'!$F$11&lt;76,D18=2,E18=20),$F$24," ")))</f>
        <v xml:space="preserve"> </v>
      </c>
      <c r="BD18" s="29" t="str">
        <f>IF(AND(I18&gt;0,'[13]EvaluaciónRiesgoCorrup R1'!$F$11&gt;50,'[13]EvaluaciónRiesgoCorrup R1'!$F$11&lt;76,D18=3,E18=5),$E$25,IF(AND(I18&gt;0,'[13]EvaluaciónRiesgoCorrup R1'!$F$11&gt;50,'[13]EvaluaciónRiesgoCorrup R1'!$F$11&lt;76,D18=3,E18=10),$E$25,IF(AND(I18&gt;0,'[13]EvaluaciónRiesgoCorrup R1'!$F$11&gt;50,'[13]EvaluaciónRiesgoCorrup R1'!$F$11&lt;76,D18=3,E18=20),$F$25," ")))</f>
        <v xml:space="preserve"> </v>
      </c>
      <c r="BE18" s="29" t="str">
        <f>IF(AND(I18&gt;0,'[13]EvaluaciónRiesgoCorrup R1'!$F$11&gt;50,'[13]EvaluaciónRiesgoCorrup R1'!$F$11&lt;76,D18=4,E18=5),$E$26,IF(AND(I18&gt;0,'[13]EvaluaciónRiesgoCorrup R1'!$F$11&gt;50,'[13]EvaluaciónRiesgoCorrup R1'!$F$11&lt;76,D18=4,E18=10),$E$26,IF(AND(I18&gt;0,'[13]EvaluaciónRiesgoCorrup R1'!$F$11&gt;50,'[13]EvaluaciónRiesgoCorrup R1'!$F$11&lt;76,D18=4,E18=20),$F$26," ")))</f>
        <v xml:space="preserve"> </v>
      </c>
      <c r="BF18" s="29" t="str">
        <f>IF(AND(I18&gt;0,'[13]EvaluaciónRiesgoCorrup R1'!$F$11&gt;50,'[13]EvaluaciónRiesgoCorrup R1'!$F$11&lt;76,D18=5,E18=5),$E$27,IF(AND(I18&gt;0,'[13]EvaluaciónRiesgoCorrup R1'!$F$11&gt;50,'[13]EvaluaciónRiesgoCorrup R1'!$F$11&lt;76,D18=5,E18=10),$E$27,IF(AND(I18&gt;0,'[13]EvaluaciónRiesgoCorrup R1'!$F$11&gt;50,'[13]EvaluaciónRiesgoCorrup R1'!$F$11&lt;76,D18=5,E18=20),$F$27," ")))</f>
        <v xml:space="preserve"> </v>
      </c>
      <c r="BI18" s="29" t="str">
        <f>IF(AND(I18&gt;0,'[13]EvaluaciónRiesgoCorrup R1'!$F$11&lt;51,D18=1,E18=5),$E$23,IF(AND(I18&gt;0,'[13]EvaluaciónRiesgoCorrup R1'!$F$11&lt;51,D18=1,E18=10),$F$23,IF(AND(I18&gt;0,'[13]EvaluaciónRiesgoCorrup R1'!$F$11&lt;51,D18=1,E18=20),$G$23," ")))</f>
        <v xml:space="preserve"> </v>
      </c>
      <c r="BJ18" s="29" t="str">
        <f>IF(AND(I18&gt;0,'[13]EvaluaciónRiesgoCorrup R1'!$F$11&lt;51,D18=2,E18=5),$E$24,IF(AND(I18&gt;0,'[13]EvaluaciónRiesgoCorrup R1'!$F$11&lt;51,D18=2,E18=10),$F$24,IF(AND(I18&gt;0,'[13]EvaluaciónRiesgoCorrup R1'!$F$11&lt;51,D18=2,E18=20),$G$24," ")))</f>
        <v xml:space="preserve"> </v>
      </c>
      <c r="BK18" s="29" t="str">
        <f>IF(AND(I18&gt;0,'[13]EvaluaciónRiesgoCorrup R1'!$F$11&lt;51,D18=3,E18=5),$E$25,IF(AND(I18&gt;0,'[13]EvaluaciónRiesgoCorrup R1'!$F$11&lt;51,D18=3,E18=10),$F$25,IF(AND(I18&gt;0,'[13]EvaluaciónRiesgoCorrup R1'!$F$11&lt;51,D18=3,E18=20),$G$25," ")))</f>
        <v xml:space="preserve"> </v>
      </c>
      <c r="BL18" s="29" t="str">
        <f>IF(AND(I18&gt;0,'[13]EvaluaciónRiesgoCorrup R1'!$F$11&lt;51,D18=4,E18=5),$E$26,IF(AND(I18&gt;0,'[13]EvaluaciónRiesgoCorrup R1'!$F$11&lt;51,D18=4,E18=10),$F$26,IF(AND(I18&gt;0,'[13]EvaluaciónRiesgoCorrup R1'!$F$11&lt;51,D18=4,E18=20),$G$26," ")))</f>
        <v xml:space="preserve"> </v>
      </c>
      <c r="BM18" s="29" t="str">
        <f>IF(AND(I18&gt;0,'[13]EvaluaciónRiesgoCorrup R1'!$F$11&lt;51,D18=5,E18=5),$E$27,IF(AND(I18&gt;0,'[13]EvaluaciónRiesgoCorrup R1'!$F$11&lt;51,D18=5,E18=10),$F$27,IF(AND(I18&gt;0,'[13]EvaluaciónRiesgoCorrup R1'!$F$11&lt;51,D18=5,E18=20),$G$27," ")))</f>
        <v xml:space="preserve"> </v>
      </c>
    </row>
    <row r="19" spans="1:65" ht="13.9" x14ac:dyDescent="0.3">
      <c r="A19" s="29"/>
      <c r="B19" s="31"/>
      <c r="C19" s="31"/>
    </row>
    <row r="20" spans="1:65" ht="14.45" thickBot="1" x14ac:dyDescent="0.35">
      <c r="A20" s="29"/>
      <c r="B20" s="31"/>
      <c r="C20" s="31"/>
      <c r="E20" s="33"/>
      <c r="F20" s="33"/>
    </row>
    <row r="21" spans="1:65" ht="15.75" thickBot="1" x14ac:dyDescent="0.3">
      <c r="A21" s="6"/>
      <c r="B21" s="34"/>
      <c r="C21" s="34"/>
      <c r="D21" s="114" t="s">
        <v>28</v>
      </c>
      <c r="E21" s="116" t="s">
        <v>12</v>
      </c>
      <c r="F21" s="116"/>
      <c r="G21" s="117"/>
      <c r="H21" s="2"/>
      <c r="L21" s="5"/>
      <c r="N21" s="2"/>
    </row>
    <row r="22" spans="1:65" ht="32.25" customHeight="1" thickBot="1" x14ac:dyDescent="0.3">
      <c r="A22" s="5"/>
      <c r="B22" s="35" t="s">
        <v>46</v>
      </c>
      <c r="C22" s="35"/>
      <c r="D22" s="115"/>
      <c r="E22" s="36" t="s">
        <v>47</v>
      </c>
      <c r="F22" s="37" t="s">
        <v>48</v>
      </c>
      <c r="G22" s="36" t="s">
        <v>49</v>
      </c>
      <c r="H22" s="2"/>
      <c r="L22" s="5"/>
      <c r="N22" s="2"/>
    </row>
    <row r="23" spans="1:65" ht="30.75" customHeight="1" thickBot="1" x14ac:dyDescent="0.3">
      <c r="B23" s="118" t="s">
        <v>50</v>
      </c>
      <c r="C23" s="119"/>
      <c r="D23" s="38" t="s">
        <v>51</v>
      </c>
      <c r="E23" s="39" t="s">
        <v>52</v>
      </c>
      <c r="F23" s="39" t="s">
        <v>52</v>
      </c>
      <c r="G23" s="40" t="s">
        <v>53</v>
      </c>
      <c r="H23" s="2"/>
      <c r="L23" s="5"/>
      <c r="N23" s="2"/>
    </row>
    <row r="24" spans="1:65" ht="14.45" thickBot="1" x14ac:dyDescent="0.35">
      <c r="D24" s="38" t="s">
        <v>54</v>
      </c>
      <c r="E24" s="39" t="s">
        <v>52</v>
      </c>
      <c r="F24" s="40" t="s">
        <v>53</v>
      </c>
      <c r="G24" s="41" t="s">
        <v>55</v>
      </c>
      <c r="H24" s="2"/>
      <c r="L24" s="5"/>
      <c r="N24" s="2"/>
    </row>
    <row r="25" spans="1:65" ht="14.45" thickBot="1" x14ac:dyDescent="0.35">
      <c r="D25" s="38" t="s">
        <v>56</v>
      </c>
      <c r="E25" s="40" t="s">
        <v>53</v>
      </c>
      <c r="F25" s="41" t="s">
        <v>55</v>
      </c>
      <c r="G25" s="42" t="s">
        <v>57</v>
      </c>
      <c r="H25" s="2"/>
      <c r="L25" s="5"/>
      <c r="N25" s="2"/>
    </row>
    <row r="26" spans="1:65" ht="14.45" thickBot="1" x14ac:dyDescent="0.35">
      <c r="D26" s="38" t="s">
        <v>58</v>
      </c>
      <c r="E26" s="40" t="s">
        <v>53</v>
      </c>
      <c r="F26" s="41" t="s">
        <v>55</v>
      </c>
      <c r="G26" s="42" t="s">
        <v>57</v>
      </c>
      <c r="H26" s="2"/>
      <c r="L26" s="5"/>
      <c r="N26" s="2"/>
    </row>
    <row r="27" spans="1:65" ht="14.45" thickBot="1" x14ac:dyDescent="0.35">
      <c r="D27" s="38" t="s">
        <v>59</v>
      </c>
      <c r="E27" s="40" t="s">
        <v>53</v>
      </c>
      <c r="F27" s="41" t="s">
        <v>55</v>
      </c>
      <c r="G27" s="42" t="s">
        <v>57</v>
      </c>
      <c r="H27" s="2"/>
      <c r="L27" s="5"/>
      <c r="N27" s="2"/>
    </row>
    <row r="28" spans="1:65" ht="13.9" x14ac:dyDescent="0.3">
      <c r="D28" s="2"/>
      <c r="E28" s="2"/>
      <c r="F28" s="2"/>
      <c r="G28" s="5"/>
      <c r="I28" s="5"/>
    </row>
    <row r="29" spans="1:65" ht="13.9" x14ac:dyDescent="0.3">
      <c r="D29" s="43" t="s">
        <v>60</v>
      </c>
      <c r="E29" s="2"/>
      <c r="F29" s="2"/>
      <c r="G29" s="5"/>
      <c r="I29" s="5"/>
      <c r="J29" s="5"/>
      <c r="K29" s="5"/>
    </row>
    <row r="30" spans="1:65" ht="15" x14ac:dyDescent="0.25">
      <c r="D30" s="44" t="s">
        <v>61</v>
      </c>
      <c r="E30" s="2"/>
      <c r="F30" s="2"/>
      <c r="G30" s="5"/>
      <c r="I30" s="5"/>
      <c r="J30" s="5"/>
      <c r="K30" s="5"/>
    </row>
    <row r="31" spans="1:65" ht="15" x14ac:dyDescent="0.25">
      <c r="D31" s="45" t="s">
        <v>62</v>
      </c>
      <c r="E31" s="2"/>
      <c r="F31" s="2"/>
      <c r="G31" s="5"/>
      <c r="I31" s="5"/>
      <c r="J31" s="5"/>
      <c r="K31" s="5"/>
    </row>
    <row r="32" spans="1:65" ht="15" x14ac:dyDescent="0.25">
      <c r="D32" s="46" t="s">
        <v>63</v>
      </c>
      <c r="E32" s="2"/>
      <c r="F32" s="2"/>
      <c r="G32" s="5"/>
      <c r="I32" s="5"/>
      <c r="J32" s="5"/>
      <c r="K32" s="5"/>
    </row>
  </sheetData>
  <mergeCells count="35">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B23:C23"/>
    <mergeCell ref="N15:N16"/>
    <mergeCell ref="O15:O16"/>
    <mergeCell ref="P15:P16"/>
    <mergeCell ref="Q15:Q16"/>
    <mergeCell ref="D21:D22"/>
    <mergeCell ref="E21:G21"/>
    <mergeCell ref="K15:M15"/>
  </mergeCells>
  <conditionalFormatting sqref="F17:F18 J17:J18">
    <cfRule type="containsText" dxfId="19" priority="1" operator="containsText" text="E">
      <formula>NOT(ISERROR(SEARCH("E",F17)))</formula>
    </cfRule>
    <cfRule type="containsText" dxfId="18" priority="2" operator="containsText" text="M">
      <formula>NOT(ISERROR(SEARCH("M",F17)))</formula>
    </cfRule>
    <cfRule type="containsText" dxfId="17" priority="3" operator="containsText" text="A">
      <formula>NOT(ISERROR(SEARCH("A",F17)))</formula>
    </cfRule>
    <cfRule type="containsText" dxfId="16" priority="4" operator="containsText" text="B">
      <formula>NOT(ISERROR(SEARCH("B",F17)))</formula>
    </cfRule>
  </conditionalFormatting>
  <pageMargins left="0.7" right="0.7" top="0.75" bottom="0.75" header="0.3" footer="0.3"/>
  <pageSetup scale="2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view="pageBreakPreview" topLeftCell="B1" zoomScale="40" zoomScaleNormal="70" zoomScaleSheetLayoutView="40" workbookViewId="0">
      <selection activeCell="D12" sqref="D12:Q12"/>
    </sheetView>
  </sheetViews>
  <sheetFormatPr baseColWidth="10" defaultColWidth="11.42578125" defaultRowHeight="14.25" x14ac:dyDescent="0.25"/>
  <cols>
    <col min="1" max="1" width="34.7109375" style="2" customWidth="1"/>
    <col min="2" max="2" width="25.5703125" style="2" customWidth="1"/>
    <col min="3" max="3" width="19.7109375" style="2" customWidth="1"/>
    <col min="4" max="4" width="27" style="5" customWidth="1"/>
    <col min="5" max="5" width="19" style="5" customWidth="1"/>
    <col min="6" max="6" width="26.7109375" style="5" customWidth="1"/>
    <col min="7" max="7" width="29.7109375" style="2" customWidth="1"/>
    <col min="8" max="8" width="21.5703125" style="5" customWidth="1"/>
    <col min="9" max="9" width="18.5703125" style="2" customWidth="1"/>
    <col min="10" max="10" width="21.7109375" style="2" customWidth="1"/>
    <col min="11" max="11" width="19.85546875" style="2" customWidth="1"/>
    <col min="12" max="12" width="26" style="2" customWidth="1"/>
    <col min="13" max="13" width="39.42578125"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
        <v>156</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[14]IdentRiesgo!B3</f>
        <v>Brindar el apoyo logístico mediante el suministro de materiales, equipos, elementos y servicios con el fin de proporcionar un ambiente adecuado de trabajo y satisfacer las necesidades de bienes y servicios requeridos para el excelente funcionamiento del IDEAM</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157</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1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18" t="s">
        <v>28</v>
      </c>
      <c r="E16" s="18" t="s">
        <v>12</v>
      </c>
      <c r="F16" s="18" t="s">
        <v>29</v>
      </c>
      <c r="G16" s="107"/>
      <c r="H16" s="18" t="s">
        <v>28</v>
      </c>
      <c r="I16" s="18" t="s">
        <v>12</v>
      </c>
      <c r="J16" s="20" t="s">
        <v>29</v>
      </c>
      <c r="K16" s="18" t="s">
        <v>30</v>
      </c>
      <c r="L16" s="18" t="s">
        <v>26</v>
      </c>
      <c r="M16" s="18" t="s">
        <v>31</v>
      </c>
      <c r="N16" s="110"/>
      <c r="O16" s="110"/>
      <c r="P16" s="110"/>
      <c r="Q16" s="110"/>
    </row>
    <row r="17" spans="1:65" ht="192.75" customHeight="1" x14ac:dyDescent="0.25">
      <c r="A17" s="22" t="str">
        <f>[14]IdentRiesgo!A6</f>
        <v>Presiones indebidas sobre funcionarios del Instituto por parte de firmas interesadas en los futuros procesos de contratación de la Entidad.
asignacion y entrega de dadivas y sobornos</v>
      </c>
      <c r="B17" s="22" t="str">
        <f>[14]IdentRiesgo!B6</f>
        <v>beneficio a terceros para sumnistro de bienes y servicios del IDEAM</v>
      </c>
      <c r="C17" s="22" t="str">
        <f>[14]IdentRiesgo!D6</f>
        <v>mala percepcion del IDEAM ante la opinion publica.
acciones legales disciplinarias, penales y fiscales por parte de los entes de control</v>
      </c>
      <c r="D17" s="23">
        <f>IF([14]AnálisisRiesgo!B9&gt;0,5,IF([14]AnálisisRiesgo!C9&gt;0,4,IF([14]AnálisisRiesgo!D9&gt;0,3,IF([14]AnálisisRiesgo!E9&gt;0,2,IF([14]AnálisisRiesgo!F9&gt;0,1,"")))))</f>
        <v>1</v>
      </c>
      <c r="E17" s="23">
        <f>IF([14]AnálisisRiesgo!G9&gt;0,5,IF([14]AnálisisRiesgo!H9&gt;0,4,IF([14]AnálisisRiesgo!I9&gt;0,3,IF([14]AnálisisRiesgo!J9&gt;0,2,IF([14]AnálisisRiesgo!K9&gt;0,1,IF([14]AnálisisRiesgo!L9&gt;0,20,IF([14]AnálisisRiesgo!M9&gt;0,10,IF([14]AnálisisRiesgo!N9&gt;0,5,""))))))))</f>
        <v>10</v>
      </c>
      <c r="F17" s="23" t="str">
        <f>CONCATENATE(S17,T17,U17,V17,W17)</f>
        <v xml:space="preserve">B    </v>
      </c>
      <c r="G17" s="23" t="s">
        <v>82</v>
      </c>
      <c r="H17" s="49"/>
      <c r="I17" s="26" t="s">
        <v>83</v>
      </c>
      <c r="J17" s="23" t="str">
        <f>CONCATENATE(Z17,AA17,AB17,AC17,AD17,AF17,AG17,AH17,AI17,AJ17,AM17,AN17,AO17,AP17,AQ17,AU17,AV17,AW17,AX17,AY17,BB17,BC17,BD17,BE17,BF17,BI17,BJ17,BK17,BL17,BM17)</f>
        <v xml:space="preserve">               B              </v>
      </c>
      <c r="K17" s="23" t="s">
        <v>84</v>
      </c>
      <c r="L17" s="23" t="s">
        <v>85</v>
      </c>
      <c r="M17" s="23" t="s">
        <v>86</v>
      </c>
      <c r="N17" s="27"/>
      <c r="O17" s="27"/>
      <c r="P17" s="27"/>
      <c r="Q17" s="29"/>
      <c r="S17" s="29" t="str">
        <f>IF(AND(D17=1,E17=5),$E$25,IF(AND(D17=1,E17=10),$F$25,IF(AND(D17=1,E17=20),$G$25," ")))</f>
        <v>B</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IF(AND(H17&gt;0,'[14]EvaluaciónRiesgoCorrup 1'!$F$11&gt;75,D17=1,E17=5),$E$25,IF(AND(H17&gt;0,'[14]EvaluaciónRiesgoCorrup 1'!$F$11&gt;75,D17=1,E17=10),$F$25,IF(AND(H17&gt;0,'[14]EvaluaciónRiesgoCorrup 1'!$F$11&gt;75,D17=1,E17=20),$G$25," ")))</f>
        <v xml:space="preserve"> </v>
      </c>
      <c r="AA17" s="29" t="str">
        <f>IF(AND(H17&gt;0,'[14]EvaluaciónRiesgoCorrup 1'!$F$11&gt;75,D17=2,E17=5),$E$25,IF(AND(H17&gt;0,'[14]EvaluaciónRiesgoCorrup 1'!$F$11&gt;75,D17=2,E17=10),$F$25,IF(AND(H17&gt;0,'[14]EvaluaciónRiesgoCorrup 1'!$F$11&gt;75,D17=2,E17=20),$G$25," ")))</f>
        <v xml:space="preserve"> </v>
      </c>
      <c r="AB17" s="29" t="str">
        <f>IF(AND(H17&gt;0,'[14]EvaluaciónRiesgoCorrup 1'!$F$11&gt;75,D17=3,E17=5),$E$25,IF(AND(H17&gt;0,'[14]EvaluaciónRiesgoCorrup 1'!$F$11&gt;75,D17=3,E17=10),$F$25,IF(AND(H17&gt;0,'[14]EvaluaciónRiesgoCorrup 1'!$F$11&gt;75,D17=3,E17=20),$G$25," ")))</f>
        <v xml:space="preserve"> </v>
      </c>
      <c r="AC17" s="29" t="str">
        <f>IF(AND(H17&gt;0,'[14]EvaluaciónRiesgoCorrup 1'!$F$11&gt;75,D17=4,E17=5),$E$26,IF(AND(H17&gt;0,'[14]EvaluaciónRiesgoCorrup 1'!$F$11&gt;75,D17=4,E17=10),$F$26,IF(AND(H17&gt;0,'[14]EvaluaciónRiesgoCorrup 1'!$F$11&gt;75,D17=4,E17=20),$G$26," ")))</f>
        <v xml:space="preserve"> </v>
      </c>
      <c r="AD17" s="29" t="str">
        <f>IF(AND(H17&gt;0,'[14]EvaluaciónRiesgoCorrup 1'!$F$11&gt;75,D17=5,E17=5),$E$27,IF(AND(H17&gt;0,'[14]EvaluaciónRiesgoCorrup 1'!$F$11&gt;75,D17=5,E17=10),$F$27,IF(AND(H17&gt;0,'[14]EvaluaciónRiesgoCorrup 1'!$F$11&gt;75,D17=5,E17=20),$G$27," ")))</f>
        <v xml:space="preserve"> </v>
      </c>
      <c r="AE17" s="30" t="s">
        <v>36</v>
      </c>
      <c r="AF17" s="29" t="str">
        <f>IF(AND(H17&gt;0,'[14]EvaluaciónRiesgoCorrup 1'!$F$11&gt;50,'[14]EvaluaciónRiesgoCorrup 1'!$F$11&lt;76,D17=1,E17=5),$E$25,IF(AND(H17&gt;0,'[14]EvaluaciónRiesgoCorrup 1'!$F$11&gt;50,'[14]EvaluaciónRiesgoCorrup 1'!$F$11&lt;76,D17=1,E17=10),$F$25,IF(AND(H17&gt;0,'[14]EvaluaciónRiesgoCorrup 1'!$F$11&gt;50,'[14]EvaluaciónRiesgoCorrup 1'!$F$11&lt;76,D17=1,E17=20),$G$25," ")))</f>
        <v xml:space="preserve"> </v>
      </c>
      <c r="AG17" s="29" t="str">
        <f>IF(AND(H17&gt;0,'[14]EvaluaciónRiesgoCorrup 1'!$F$11&gt;50,'[14]EvaluaciónRiesgoCorrup 1'!$F$11&lt;76,D17=2,E17=5),$E$25,IF(AND(H17&gt;0,'[14]EvaluaciónRiesgoCorrup 1'!$F$11&gt;50,'[14]EvaluaciónRiesgoCorrup 1'!$F$11&lt;76,D17=2,E17=10),$F$25,IF(AND(H17&gt;0,'[14]EvaluaciónRiesgoCorrup 1'!$F$11&gt;50,'[14]EvaluaciónRiesgoCorrup 1'!$F$11&lt;76,D17=2,E17=20),$G$25," ")))</f>
        <v xml:space="preserve"> </v>
      </c>
      <c r="AH17" s="29" t="str">
        <f>IF(AND(H17&gt;0,'[14]EvaluaciónRiesgoCorrup 1'!$F$11&gt;50,'[14]EvaluaciónRiesgoCorrup 1'!$F$11&lt;76,D17=3,E17=5),$E$26,IF(AND(H17&gt;0,'[14]EvaluaciónRiesgoCorrup 1'!$F$11&gt;50,'[14]EvaluaciónRiesgoCorrup 1'!$F$11&lt;76,D17=3,E17=10),$F$26,IF(AND(H17&gt;0,'[14]EvaluaciónRiesgoCorrup 1'!$F$11&gt;50,'[14]EvaluaciónRiesgoCorrup 1'!$F$11&lt;76,D17=3,E17=20),$G$26," ")))</f>
        <v xml:space="preserve"> </v>
      </c>
      <c r="AI17" s="29" t="str">
        <f>IF(AND(H17&gt;0,'[14]EvaluaciónRiesgoCorrup 1'!$F$11&gt;50,'[14]EvaluaciónRiesgoCorrup 1'!$F$11&lt;76,D17=4,E17=5),$E$27,IF(AND(H17&gt;0,'[14]EvaluaciónRiesgoCorrup 1'!$F$11&gt;50,'[14]EvaluaciónRiesgoCorrup 1'!$F$11&lt;76,D17=4,E17=10),$F$27,IF(AND(H17&gt;0,'[14]EvaluaciónRiesgoCorrup 1'!$F$11&gt;50,'[14]EvaluaciónRiesgoCorrup 1'!$F$11&lt;76,D17=4,E17=20),$G$27," ")))</f>
        <v xml:space="preserve"> </v>
      </c>
      <c r="AJ17" s="29" t="str">
        <f>IF(AND(H17&gt;0,'[14]EvaluaciónRiesgoCorrup 1'!$F$11&gt;50,'[14]EvaluaciónRiesgoCorrup 1'!$F$11&lt;76,D17=5,E17=5),$E$28,IF(AND(H17&gt;0,'[14]EvaluaciónRiesgoCorrup 1'!$F$11&gt;50,'[14]EvaluaciónRiesgoCorrup 1'!$F$11&lt;76,D17=5,E17=10),$F$28,IF(AND(H17&gt;0,'[14]EvaluaciónRiesgoCorrup 1'!$F$11&gt;50,'[14]EvaluaciónRiesgoCorrup 1'!$F$11&lt;76,D17=5,E17=20),$G$28," ")))</f>
        <v xml:space="preserve"> </v>
      </c>
      <c r="AL17" s="30" t="s">
        <v>37</v>
      </c>
      <c r="AM17" s="29" t="str">
        <f>IF(AND(H17&gt;0,'[14]EvaluaciónRiesgoCorrup 1'!$F$11&lt;51,D17=1,E17=5),$E$25,IF(AND(H17&gt;0,'[14]EvaluaciónRiesgoCorrup 1'!$F$11&lt;51,D17=1,E17=10),$F$25,IF(AND(H17&gt;0,'[14]EvaluaciónRiesgoCorrup 1'!$F$11&lt;51,D17=1,E17=20),G$25," ")))</f>
        <v xml:space="preserve"> </v>
      </c>
      <c r="AN17" s="29" t="str">
        <f>IF(AND(H17&gt;0,'[14]EvaluaciónRiesgoCorrup 1'!$F$11&lt;51,D17=2,E17=5),$E$26,IF(AND(H17&gt;0,'[14]EvaluaciónRiesgoCorrup 1'!$F$11&lt;51,D17=2,E17=10),$F$26,IF(AND(H17&gt;0,'[14]EvaluaciónRiesgoCorrup 1'!$F$11&lt;51,D17=2,E17=20),G$26," ")))</f>
        <v xml:space="preserve"> </v>
      </c>
      <c r="AO17" s="29" t="str">
        <f>IF(AND(H17&gt;0,'[14]EvaluaciónRiesgoCorrup 1'!$F$11&lt;51,D17=3,E17=5),$E$27,IF(AND(H17&gt;0,'[14]EvaluaciónRiesgoCorrup 1'!$F$11&lt;51,D17=3,E17=10),$F$27,IF(AND(H17&gt;0,'[14]EvaluaciónRiesgoCorrup 1'!$F$11&lt;51,D17=3,E17=20),G$27," ")))</f>
        <v xml:space="preserve"> </v>
      </c>
      <c r="AP17" s="29" t="str">
        <f>IF(AND(H17&gt;0,'[14]EvaluaciónRiesgoCorrup 1'!$F$11&lt;51,D17=4,E17=5),$E$28,IF(AND(H17&gt;0,'[14]EvaluaciónRiesgoCorrup 1'!$F$11&lt;51,D17=4,E17=10),$F$28,IF(AND(H17&gt;0,'[14]EvaluaciónRiesgoCorrup 1'!$F$11&lt;51,D17=4,E17=20),G$28," ")))</f>
        <v xml:space="preserve"> </v>
      </c>
      <c r="AQ17" s="29" t="str">
        <f>IF(AND(H17&gt;0,'[14]EvaluaciónRiesgoCorrup 1'!$F$11&lt;51,D17=5,E17=5),$E$29,IF(AND(H17&gt;0,'[14]EvaluaciónRiesgoCorrup 1'!$F$11&lt;51,D17=5,E17=10),$F$29,IF(AND(H17&gt;0,'[14]EvaluaciónRiesgoCorrup 1'!$F$11&lt;51,D17=5,E17=20),G$29," ")))</f>
        <v xml:space="preserve"> </v>
      </c>
      <c r="AT17" s="30" t="s">
        <v>35</v>
      </c>
      <c r="AU17" s="29" t="str">
        <f>IF(AND(I17&gt;0,'[14]EvaluaciónRiesgoCorrup 1'!$F$11&gt;75,D17=1,E17=5),$E$25,IF(AND(I17&gt;0,'[14]EvaluaciónRiesgoCorrup 1'!$F$11&gt;75,D17=1,E17=10),$E$25,IF(AND(I17&gt;0,'[14]EvaluaciónRiesgoCorrup 1'!$F$11&gt;75,D17=1,E17=20),$E$25," ")))</f>
        <v>B</v>
      </c>
      <c r="AV17" s="29" t="str">
        <f>IF(AND(I17&gt;0,'[14]EvaluaciónRiesgoCorrup 1'!$F$11&gt;75,D17=2,E17=5),$E$26,IF(AND(I17&gt;0,'[14]EvaluaciónRiesgoCorrup 1'!$F$11&gt;75,D17=2,E17=10),$E$26,IF(AND(I17&gt;0,'[14]EvaluaciónRiesgoCorrup 1'!$F$11&gt;75,D17=2,E17=20),$E$26," ")))</f>
        <v xml:space="preserve"> </v>
      </c>
      <c r="AW17" s="29" t="str">
        <f>IF(AND(I17&gt;0,'[14]EvaluaciónRiesgoCorrup 1'!$F$11&gt;75,D17=3,E17=5),$E$27,IF(AND(I17&gt;0,'[14]EvaluaciónRiesgoCorrup 1'!$F$11&gt;75,D17=3,E17=10),$E$27,IF(AND(I17&gt;0,'[14]EvaluaciónRiesgoCorrup 1'!$F$11&gt;75,D17=3,E17=20),$E$27," ")))</f>
        <v xml:space="preserve"> </v>
      </c>
      <c r="AX17" s="29" t="str">
        <f>IF(AND(I17&gt;0,'[14]EvaluaciónRiesgoCorrup 1'!$F$11&gt;75,D17=4,E17=5),$E$28,IF(AND(I17&gt;0,'[14]EvaluaciónRiesgoCorrup 1'!$F$11&gt;75,D17=4,E17=10),$E$28,IF(AND(I17&gt;0,'[14]EvaluaciónRiesgoCorrup 1'!$F$11&gt;75,D17=4,E17=20),$E$28," ")))</f>
        <v xml:space="preserve"> </v>
      </c>
      <c r="AY17" s="29" t="str">
        <f>IF(AND(I17&gt;0,'[14]EvaluaciónRiesgoCorrup 1'!$F$11&gt;75,D17=5,E17=5),$E$29,IF(AND(I17&gt;0,'[14]EvaluaciónRiesgoCorrup 1'!$F$11&gt;75,D17=5,E17=10),$E$29,IF(AND(I17&gt;0,'[14]EvaluaciónRiesgoCorrup 1'!$F$11&gt;75,D17=5,E17=20),$E$29," ")))</f>
        <v xml:space="preserve"> </v>
      </c>
      <c r="BA17" s="30" t="s">
        <v>36</v>
      </c>
      <c r="BB17" s="29" t="str">
        <f>IF(AND(I17&gt;0,'[14]EvaluaciónRiesgoCorrup 1'!$F$11&gt;50,'[14]EvaluaciónRiesgoCorrup 1'!$F$11&lt;76,D17=1,E17=5),$E$25,IF(AND(I17&gt;0,'[14]EvaluaciónRiesgoCorrup 1'!$F$11&gt;50,'[14]EvaluaciónRiesgoCorrup 1'!$F$11&lt;76,D17=1,E17=10),$E$25,IF(AND(I17&gt;0,'[14]EvaluaciónRiesgoCorrup 1'!$F$11&gt;50,'[14]EvaluaciónRiesgoCorrup 1'!$F$11&lt;76,D17=1,E17=20),$F$25," ")))</f>
        <v xml:space="preserve"> </v>
      </c>
      <c r="BC17" s="29" t="str">
        <f>IF(AND(I17&gt;0,'[14]EvaluaciónRiesgoCorrup 1'!$F$11&gt;50,'[14]EvaluaciónRiesgoCorrup 1'!$F$11&lt;76,D17=2,E17=5),$E$26,IF(AND(I17&gt;0,'[14]EvaluaciónRiesgoCorrup 1'!$F$11&gt;50,'[14]EvaluaciónRiesgoCorrup 1'!$F$11&lt;76,D17=2,E17=10),$E$26,IF(AND(I17&gt;0,'[14]EvaluaciónRiesgoCorrup 1'!$F$11&gt;50,'[14]EvaluaciónRiesgoCorrup 1'!$F$11&lt;76,D17=2,E17=20),$F$26," ")))</f>
        <v xml:space="preserve"> </v>
      </c>
      <c r="BD17" s="29" t="str">
        <f>IF(AND(I17&gt;0,'[14]EvaluaciónRiesgoCorrup 1'!$F$11&gt;50,'[14]EvaluaciónRiesgoCorrup 1'!$F$11&lt;76,D17=3,E17=5),$E$27,IF(AND(I17&gt;0,'[14]EvaluaciónRiesgoCorrup 1'!$F$11&gt;50,'[14]EvaluaciónRiesgoCorrup 1'!$F$11&lt;76,D17=3,E17=10),$E$27,IF(AND(I17&gt;0,'[14]EvaluaciónRiesgoCorrup 1'!$F$11&gt;50,'[14]EvaluaciónRiesgoCorrup 1'!$F$11&lt;76,D17=3,E17=20),$F$27," ")))</f>
        <v xml:space="preserve"> </v>
      </c>
      <c r="BE17" s="29" t="str">
        <f>IF(AND(I17&gt;0,'[14]EvaluaciónRiesgoCorrup 1'!$F$11&gt;50,'[14]EvaluaciónRiesgoCorrup 1'!$F$11&lt;76,D17=4,E17=5),$E$28,IF(AND(I17&gt;0,'[14]EvaluaciónRiesgoCorrup 1'!$F$11&gt;50,'[14]EvaluaciónRiesgoCorrup 1'!$F$11&lt;76,D17=4,E17=10),$E$28,IF(AND(I17&gt;0,'[14]EvaluaciónRiesgoCorrup 1'!$F$11&gt;50,'[14]EvaluaciónRiesgoCorrup 1'!$F$11&lt;76,D17=4,E17=20),$F$28," ")))</f>
        <v xml:space="preserve"> </v>
      </c>
      <c r="BF17" s="29" t="str">
        <f>IF(AND(I17&gt;0,'[14]EvaluaciónRiesgoCorrup 1'!$F$11&gt;50,'[14]EvaluaciónRiesgoCorrup 1'!$F$11&lt;76,D17=5,E17=5),$E$29,IF(AND(I17&gt;0,'[14]EvaluaciónRiesgoCorrup 1'!$F$11&gt;50,'[14]EvaluaciónRiesgoCorrup 1'!$F$11&lt;76,D17=5,E17=10),$E$29,IF(AND(I17&gt;0,'[14]EvaluaciónRiesgoCorrup 1'!$F$11&gt;50,'[14]EvaluaciónRiesgoCorrup 1'!$F$11&lt;76,D17=5,E17=20),$F$29," ")))</f>
        <v xml:space="preserve"> </v>
      </c>
      <c r="BH17" s="30" t="s">
        <v>37</v>
      </c>
      <c r="BI17" s="29" t="str">
        <f>IF(AND(I17&gt;0,'[14]EvaluaciónRiesgoCorrup 1'!$F$11&lt;51,D17=1,E17=5),$E$25,IF(AND(I17&gt;0,'[14]EvaluaciónRiesgoCorrup 1'!$F$11&lt;51,D17=1,E17=10),$F$25,IF(AND(I17&gt;0,'[14]EvaluaciónRiesgoCorrup 1'!$F$11&lt;51,D17=1,E17=20),$G$25," ")))</f>
        <v xml:space="preserve"> </v>
      </c>
      <c r="BJ17" s="29" t="str">
        <f>IF(AND(I17&gt;0,'[14]EvaluaciónRiesgoCorrup 1'!$F$11&lt;51,D17=2,E17=5),$E$26,IF(AND(I17&gt;0,'[14]EvaluaciónRiesgoCorrup 1'!$F$11&lt;51,D17=2,E17=10),$F$26,IF(AND(I17&gt;0,'[14]EvaluaciónRiesgoCorrup 1'!$F$11&lt;51,D17=2,E17=20),$G$26," ")))</f>
        <v xml:space="preserve"> </v>
      </c>
      <c r="BK17" s="29" t="str">
        <f>IF(AND(I17&gt;0,'[14]EvaluaciónRiesgoCorrup 1'!$F$11&lt;51,D17=3,E17=5),$E$27,IF(AND(I17&gt;0,'[14]EvaluaciónRiesgoCorrup 1'!$F$11&lt;51,D17=3,E17=10),$F$27,IF(AND(I17&gt;0,'[14]EvaluaciónRiesgoCorrup 1'!$F$11&lt;51,D17=3,E17=20),$G$27," ")))</f>
        <v xml:space="preserve"> </v>
      </c>
      <c r="BL17" s="29" t="str">
        <f>IF(AND(I17&gt;0,'[14]EvaluaciónRiesgoCorrup 1'!$F$11&lt;51,D17=4,E17=5),$E$28,IF(AND(I17&gt;0,'[14]EvaluaciónRiesgoCorrup 1'!$F$11&lt;51,D17=4,E17=10),$F$28,IF(AND(I17&gt;0,'[14]EvaluaciónRiesgoCorrup 1'!$F$11&lt;51,D17=4,E17=20),$G$28," ")))</f>
        <v xml:space="preserve"> </v>
      </c>
      <c r="BM17" s="29" t="str">
        <f>IF(AND(I17&gt;0,'[14]EvaluaciónRiesgoCorrup 1'!$F$11&lt;51,D17=5,E17=5),$E$29,IF(AND(I17&gt;0,'[14]EvaluaciónRiesgoCorrup 1'!$F$11&lt;51,D17=5,E17=10),$F$29,IF(AND(I17&gt;0,'[14]EvaluaciónRiesgoCorrup 1'!$F$11&lt;51,D17=5,E17=20),$G$29," ")))</f>
        <v xml:space="preserve"> </v>
      </c>
    </row>
    <row r="18" spans="1:65" ht="212.25" customHeight="1" x14ac:dyDescent="0.25">
      <c r="A18" s="22" t="str">
        <f>[14]IdentRiesgo!A7</f>
        <v>incosistencias en los documentos soportes (facturas y recibos) para legalizar pagos por caja menor</v>
      </c>
      <c r="B18" s="22" t="str">
        <f>[14]IdentRiesgo!B7</f>
        <v>manejo indebido de caja menor del IDEAM</v>
      </c>
      <c r="C18" s="22" t="str">
        <f>[14]IdentRiesgo!D7</f>
        <v>peculado y detrimento patrimonial 
acciones disciplinarias por parte de los entes de control</v>
      </c>
      <c r="D18" s="23">
        <f>IF([14]AnálisisRiesgo!B10&gt;0,5,IF([14]AnálisisRiesgo!C10&gt;0,4,IF([14]AnálisisRiesgo!D10&gt;0,3,IF([14]AnálisisRiesgo!E10&gt;0,2,IF([14]AnálisisRiesgo!F10&gt;0,1,"")))))</f>
        <v>1</v>
      </c>
      <c r="E18" s="23">
        <f>IF([14]AnálisisRiesgo!G10&gt;0,5,IF([14]AnálisisRiesgo!H10&gt;0,4,IF([14]AnálisisRiesgo!I10&gt;0,3,IF([14]AnálisisRiesgo!J10&gt;0,2,IF([14]AnálisisRiesgo!K10&gt;0,1,IF([14]AnálisisRiesgo!L10&gt;0,20,IF([14]AnálisisRiesgo!M10&gt;0,10,IF([14]AnálisisRiesgo!N10&gt;0,5,""))))))))</f>
        <v>10</v>
      </c>
      <c r="F18" s="23" t="str">
        <f t="shared" ref="F18:F19" si="0">CONCATENATE(S18,T18,U18,V18,W18)</f>
        <v xml:space="preserve">B    </v>
      </c>
      <c r="G18" s="23" t="s">
        <v>87</v>
      </c>
      <c r="H18" s="49"/>
      <c r="I18" s="26" t="s">
        <v>83</v>
      </c>
      <c r="J18" s="23" t="str">
        <f t="shared" ref="J18:J19" si="1">CONCATENATE(Z18,AA18,AB18,AC18,AD18,AF18,AG18,AH18,AI18,AJ18,AM18,AN18,AO18,AP18,AQ18,AU18,AV18,AW18,AX18,AY18,BB18,BC18,BD18,BE18,BF18,BI18,BJ18,BK18,BL18,BM18)</f>
        <v xml:space="preserve">               B              </v>
      </c>
      <c r="K18" s="23" t="s">
        <v>88</v>
      </c>
      <c r="L18" s="23" t="s">
        <v>89</v>
      </c>
      <c r="M18" s="23" t="s">
        <v>90</v>
      </c>
      <c r="N18" s="27"/>
      <c r="O18" s="27"/>
      <c r="P18" s="27"/>
      <c r="Q18" s="29"/>
      <c r="S18" s="29" t="str">
        <f>IF(AND(D18=1,E18=5),$E$25,IF(AND(D18=1,E18=10),$F$25,IF(AND(D18=1,E18=20),$G$25," ")))</f>
        <v>B</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IF(AND(H18&gt;0,'[14]EvaluaciónRiesgoCorrup 1'!$F$11&gt;75,D18=1,E18=5),$E$25,IF(AND(H18&gt;0,'[14]EvaluaciónRiesgoCorrup 1'!$F$11&gt;75,D18=1,E18=10),$F$25,IF(AND(H18&gt;0,'[14]EvaluaciónRiesgoCorrup 1'!$F$11&gt;75,D18=1,E18=20),$G$25," ")))</f>
        <v xml:space="preserve"> </v>
      </c>
      <c r="AA18" s="29" t="str">
        <f>IF(AND(H18&gt;0,'[14]EvaluaciónRiesgoCorrup 1'!$F$11&gt;75,D18=2,E18=5),$E$25,IF(AND(H18&gt;0,'[14]EvaluaciónRiesgoCorrup 1'!$F$11&gt;75,D18=2,E18=10),$F$25,IF(AND(H18&gt;0,'[14]EvaluaciónRiesgoCorrup 1'!$F$11&gt;75,D18=2,E18=20),$G$25," ")))</f>
        <v xml:space="preserve"> </v>
      </c>
      <c r="AB18" s="29" t="str">
        <f>IF(AND(H18&gt;0,'[14]EvaluaciónRiesgoCorrup 1'!$F$11&gt;75,D18=3,E18=5),$E$25,IF(AND(H18&gt;0,'[14]EvaluaciónRiesgoCorrup 1'!$F$11&gt;75,D18=3,E18=10),$F$25,IF(AND(H18&gt;0,'[14]EvaluaciónRiesgoCorrup 1'!$F$11&gt;75,D18=3,E18=20),$G$25," ")))</f>
        <v xml:space="preserve"> </v>
      </c>
      <c r="AC18" s="29" t="str">
        <f>IF(AND(H18&gt;0,'[14]EvaluaciónRiesgoCorrup 1'!$F$11&gt;75,D18=4,E18=5),$E$26,IF(AND(H18&gt;0,'[14]EvaluaciónRiesgoCorrup 1'!$F$11&gt;75,D18=4,E18=10),$F$26,IF(AND(H18&gt;0,'[14]EvaluaciónRiesgoCorrup 1'!$F$11&gt;75,D18=4,E18=20),$G$26," ")))</f>
        <v xml:space="preserve"> </v>
      </c>
      <c r="AD18" s="29" t="str">
        <f>IF(AND(H18&gt;0,'[14]EvaluaciónRiesgoCorrup 1'!$F$11&gt;75,D18=5,E18=5),$E$27,IF(AND(H18&gt;0,'[14]EvaluaciónRiesgoCorrup 1'!$F$11&gt;75,D18=5,E18=10),$F$27,IF(AND(H18&gt;0,'[14]EvaluaciónRiesgoCorrup 1'!$F$11&gt;75,D18=5,E18=20),$G$27," ")))</f>
        <v xml:space="preserve"> </v>
      </c>
      <c r="AF18" s="29" t="str">
        <f>IF(AND(H18&gt;0,'[14]EvaluaciónRiesgoCorrup 1'!$F$11&gt;50,'[14]EvaluaciónRiesgoCorrup 1'!$F$11&lt;76,D18=1,E18=5),$E$25,IF(AND(H18&gt;0,'[14]EvaluaciónRiesgoCorrup 1'!$F$11&gt;50,'[14]EvaluaciónRiesgoCorrup 1'!$F$11&lt;76,D18=1,E18=10),$F$25,IF(AND(H18&gt;0,'[14]EvaluaciónRiesgoCorrup 1'!$F$11&gt;50,'[14]EvaluaciónRiesgoCorrup 1'!$F$11&lt;76,D18=1,E18=20),$G$25," ")))</f>
        <v xml:space="preserve"> </v>
      </c>
      <c r="AG18" s="29" t="str">
        <f>IF(AND(H18&gt;0,'[14]EvaluaciónRiesgoCorrup 1'!$F$11&gt;50,'[14]EvaluaciónRiesgoCorrup 1'!$F$11&lt;76,D18=2,E18=5),$E$25,IF(AND(H18&gt;0,'[14]EvaluaciónRiesgoCorrup 1'!$F$11&gt;50,'[14]EvaluaciónRiesgoCorrup 1'!$F$11&lt;76,D18=2,E18=10),$F$25,IF(AND(H18&gt;0,'[14]EvaluaciónRiesgoCorrup 1'!$F$11&gt;50,'[14]EvaluaciónRiesgoCorrup 1'!$F$11&lt;76,D18=2,E18=20),$G$25," ")))</f>
        <v xml:space="preserve"> </v>
      </c>
      <c r="AH18" s="29" t="str">
        <f>IF(AND(H18&gt;0,'[14]EvaluaciónRiesgoCorrup 1'!$F$11&gt;50,'[14]EvaluaciónRiesgoCorrup 1'!$F$11&lt;76,D18=3,E18=5),$E$26,IF(AND(H18&gt;0,'[14]EvaluaciónRiesgoCorrup 1'!$F$11&gt;50,'[14]EvaluaciónRiesgoCorrup 1'!$F$11&lt;76,D18=3,E18=10),$F$26,IF(AND(H18&gt;0,'[14]EvaluaciónRiesgoCorrup 1'!$F$11&gt;50,'[14]EvaluaciónRiesgoCorrup 1'!$F$11&lt;76,D18=3,E18=20),$G$26," ")))</f>
        <v xml:space="preserve"> </v>
      </c>
      <c r="AI18" s="29" t="str">
        <f>IF(AND(H18&gt;0,'[14]EvaluaciónRiesgoCorrup 1'!$F$11&gt;50,'[14]EvaluaciónRiesgoCorrup 1'!$F$11&lt;76,D18=4,E18=5),$E$27,IF(AND(H18&gt;0,'[14]EvaluaciónRiesgoCorrup 1'!$F$11&gt;50,'[14]EvaluaciónRiesgoCorrup 1'!$F$11&lt;76,D18=4,E18=10),$F$27,IF(AND(H18&gt;0,'[14]EvaluaciónRiesgoCorrup 1'!$F$11&gt;50,'[14]EvaluaciónRiesgoCorrup 1'!$F$11&lt;76,D18=4,E18=20),$G$27," ")))</f>
        <v xml:space="preserve"> </v>
      </c>
      <c r="AJ18" s="29" t="str">
        <f>IF(AND(H18&gt;0,'[14]EvaluaciónRiesgoCorrup 1'!$F$11&gt;50,'[14]EvaluaciónRiesgoCorrup 1'!$F$11&lt;76,D18=5,E18=5),$E$28,IF(AND(H18&gt;0,'[14]EvaluaciónRiesgoCorrup 1'!$F$11&gt;50,'[14]EvaluaciónRiesgoCorrup 1'!$F$11&lt;76,D18=5,E18=10),$F$28,IF(AND(H18&gt;0,'[14]EvaluaciónRiesgoCorrup 1'!$F$11&gt;50,'[14]EvaluaciónRiesgoCorrup 1'!$F$11&lt;76,D18=5,E18=20),$G$28," ")))</f>
        <v xml:space="preserve"> </v>
      </c>
      <c r="AM18" s="29" t="str">
        <f>IF(AND(H18&gt;0,'[14]EvaluaciónRiesgoCorrup 1'!$F$11&lt;51,D18=1,E18=5),$E$25,IF(AND(H18&gt;0,'[14]EvaluaciónRiesgoCorrup 1'!$F$11&lt;51,D18=1,E18=10),$F$25,IF(AND(H18&gt;0,'[14]EvaluaciónRiesgoCorrup 1'!$F$11&lt;51,D18=1,E18=20),G$25," ")))</f>
        <v xml:space="preserve"> </v>
      </c>
      <c r="AN18" s="29" t="str">
        <f>IF(AND(H18&gt;0,'[14]EvaluaciónRiesgoCorrup 1'!$F$11&lt;51,D18=2,E18=5),$E$26,IF(AND(H18&gt;0,'[14]EvaluaciónRiesgoCorrup 1'!$F$11&lt;51,D18=2,E18=10),$F$26,IF(AND(H18&gt;0,'[14]EvaluaciónRiesgoCorrup 1'!$F$11&lt;51,D18=2,E18=20),G$26," ")))</f>
        <v xml:space="preserve"> </v>
      </c>
      <c r="AO18" s="29" t="str">
        <f>IF(AND(H18&gt;0,'[14]EvaluaciónRiesgoCorrup 1'!$F$11&lt;51,D18=3,E18=5),$E$27,IF(AND(H18&gt;0,'[14]EvaluaciónRiesgoCorrup 1'!$F$11&lt;51,D18=3,E18=10),$F$27,IF(AND(H18&gt;0,'[14]EvaluaciónRiesgoCorrup 1'!$F$11&lt;51,D18=3,E18=20),G$27," ")))</f>
        <v xml:space="preserve"> </v>
      </c>
      <c r="AP18" s="29" t="str">
        <f>IF(AND(H18&gt;0,'[14]EvaluaciónRiesgoCorrup 1'!$F$11&lt;51,D18=4,E18=5),$E$28,IF(AND(H18&gt;0,'[14]EvaluaciónRiesgoCorrup 1'!$F$11&lt;51,D18=4,E18=10),$F$28,IF(AND(H18&gt;0,'[14]EvaluaciónRiesgoCorrup 1'!$F$11&lt;51,D18=4,E18=20),G$28," ")))</f>
        <v xml:space="preserve"> </v>
      </c>
      <c r="AQ18" s="29" t="str">
        <f>IF(AND(H18&gt;0,'[14]EvaluaciónRiesgoCorrup 1'!$F$11&lt;51,D18=5,E18=5),$E$29,IF(AND(H18&gt;0,'[14]EvaluaciónRiesgoCorrup 1'!$F$11&lt;51,D18=5,E18=10),$F$29,IF(AND(H18&gt;0,'[14]EvaluaciónRiesgoCorrup 1'!$F$11&lt;51,D18=5,E18=20),G$29," ")))</f>
        <v xml:space="preserve"> </v>
      </c>
      <c r="AU18" s="29" t="str">
        <f>IF(AND(I18&gt;0,'[14]EvaluaciónRiesgoCorrup 1'!$F$11&gt;75,D18=1,E18=5),$E$25,IF(AND(I18&gt;0,'[14]EvaluaciónRiesgoCorrup 1'!$F$11&gt;75,D18=1,E18=10),$E$25,IF(AND(I18&gt;0,'[14]EvaluaciónRiesgoCorrup 1'!$F$11&gt;75,D18=1,E18=20),$E$25," ")))</f>
        <v>B</v>
      </c>
      <c r="AV18" s="29" t="str">
        <f>IF(AND(I18&gt;0,'[14]EvaluaciónRiesgoCorrup 1'!$F$11&gt;75,D18=2,E18=5),$E$26,IF(AND(I18&gt;0,'[14]EvaluaciónRiesgoCorrup 1'!$F$11&gt;75,D18=2,E18=10),$E$26,IF(AND(I18&gt;0,'[14]EvaluaciónRiesgoCorrup 1'!$F$11&gt;75,D18=2,E18=20),$E$26," ")))</f>
        <v xml:space="preserve"> </v>
      </c>
      <c r="AW18" s="29" t="str">
        <f>IF(AND(I18&gt;0,'[14]EvaluaciónRiesgoCorrup 1'!$F$11&gt;75,D18=3,E18=5),$E$27,IF(AND(I18&gt;0,'[14]EvaluaciónRiesgoCorrup 1'!$F$11&gt;75,D18=3,E18=10),$E$27,IF(AND(I18&gt;0,'[14]EvaluaciónRiesgoCorrup 1'!$F$11&gt;75,D18=3,E18=20),$E$27," ")))</f>
        <v xml:space="preserve"> </v>
      </c>
      <c r="AX18" s="29" t="str">
        <f>IF(AND(I18&gt;0,'[14]EvaluaciónRiesgoCorrup 1'!$F$11&gt;75,D18=4,E18=5),$E$28,IF(AND(I18&gt;0,'[14]EvaluaciónRiesgoCorrup 1'!$F$11&gt;75,D18=4,E18=10),$E$28,IF(AND(I18&gt;0,'[14]EvaluaciónRiesgoCorrup 1'!$F$11&gt;75,D18=4,E18=20),$E$28," ")))</f>
        <v xml:space="preserve"> </v>
      </c>
      <c r="AY18" s="29" t="str">
        <f>IF(AND(I18&gt;0,'[14]EvaluaciónRiesgoCorrup 1'!$F$11&gt;75,D18=5,E18=5),$E$29,IF(AND(I18&gt;0,'[14]EvaluaciónRiesgoCorrup 1'!$F$11&gt;75,D18=5,E18=10),$E$29,IF(AND(I18&gt;0,'[14]EvaluaciónRiesgoCorrup 1'!$F$11&gt;75,D18=5,E18=20),$E$29," ")))</f>
        <v xml:space="preserve"> </v>
      </c>
      <c r="BB18" s="29" t="str">
        <f>IF(AND(I18&gt;0,'[14]EvaluaciónRiesgoCorrup 1'!$F$11&gt;50,'[14]EvaluaciónRiesgoCorrup 1'!$F$11&lt;76,D18=1,E18=5),$E$25,IF(AND(I18&gt;0,'[14]EvaluaciónRiesgoCorrup 1'!$F$11&gt;50,'[14]EvaluaciónRiesgoCorrup 1'!$F$11&lt;76,D18=1,E18=10),$E$25,IF(AND(I18&gt;0,'[14]EvaluaciónRiesgoCorrup 1'!$F$11&gt;50,'[14]EvaluaciónRiesgoCorrup 1'!$F$11&lt;76,D18=1,E18=20),$F$25," ")))</f>
        <v xml:space="preserve"> </v>
      </c>
      <c r="BC18" s="29" t="str">
        <f>IF(AND(I18&gt;0,'[14]EvaluaciónRiesgoCorrup 1'!$F$11&gt;50,'[14]EvaluaciónRiesgoCorrup 1'!$F$11&lt;76,D18=2,E18=5),$E$26,IF(AND(I18&gt;0,'[14]EvaluaciónRiesgoCorrup 1'!$F$11&gt;50,'[14]EvaluaciónRiesgoCorrup 1'!$F$11&lt;76,D18=2,E18=10),$E$26,IF(AND(I18&gt;0,'[14]EvaluaciónRiesgoCorrup 1'!$F$11&gt;50,'[14]EvaluaciónRiesgoCorrup 1'!$F$11&lt;76,D18=2,E18=20),$F$26," ")))</f>
        <v xml:space="preserve"> </v>
      </c>
      <c r="BD18" s="29" t="str">
        <f>IF(AND(I18&gt;0,'[14]EvaluaciónRiesgoCorrup 1'!$F$11&gt;50,'[14]EvaluaciónRiesgoCorrup 1'!$F$11&lt;76,D18=3,E18=5),$E$27,IF(AND(I18&gt;0,'[14]EvaluaciónRiesgoCorrup 1'!$F$11&gt;50,'[14]EvaluaciónRiesgoCorrup 1'!$F$11&lt;76,D18=3,E18=10),$E$27,IF(AND(I18&gt;0,'[14]EvaluaciónRiesgoCorrup 1'!$F$11&gt;50,'[14]EvaluaciónRiesgoCorrup 1'!$F$11&lt;76,D18=3,E18=20),$F$27," ")))</f>
        <v xml:space="preserve"> </v>
      </c>
      <c r="BE18" s="29" t="str">
        <f>IF(AND(I18&gt;0,'[14]EvaluaciónRiesgoCorrup 1'!$F$11&gt;50,'[14]EvaluaciónRiesgoCorrup 1'!$F$11&lt;76,D18=4,E18=5),$E$28,IF(AND(I18&gt;0,'[14]EvaluaciónRiesgoCorrup 1'!$F$11&gt;50,'[14]EvaluaciónRiesgoCorrup 1'!$F$11&lt;76,D18=4,E18=10),$E$28,IF(AND(I18&gt;0,'[14]EvaluaciónRiesgoCorrup 1'!$F$11&gt;50,'[14]EvaluaciónRiesgoCorrup 1'!$F$11&lt;76,D18=4,E18=20),$F$28," ")))</f>
        <v xml:space="preserve"> </v>
      </c>
      <c r="BF18" s="29" t="str">
        <f>IF(AND(I18&gt;0,'[14]EvaluaciónRiesgoCorrup 1'!$F$11&gt;50,'[14]EvaluaciónRiesgoCorrup 1'!$F$11&lt;76,D18=5,E18=5),$E$29,IF(AND(I18&gt;0,'[14]EvaluaciónRiesgoCorrup 1'!$F$11&gt;50,'[14]EvaluaciónRiesgoCorrup 1'!$F$11&lt;76,D18=5,E18=10),$E$29,IF(AND(I18&gt;0,'[14]EvaluaciónRiesgoCorrup 1'!$F$11&gt;50,'[14]EvaluaciónRiesgoCorrup 1'!$F$11&lt;76,D18=5,E18=20),$F$29," ")))</f>
        <v xml:space="preserve"> </v>
      </c>
      <c r="BI18" s="29" t="str">
        <f>IF(AND(I18&gt;0,'[14]EvaluaciónRiesgoCorrup 1'!$F$11&lt;51,D18=1,E18=5),$E$25,IF(AND(I18&gt;0,'[14]EvaluaciónRiesgoCorrup 1'!$F$11&lt;51,D18=1,E18=10),$F$25,IF(AND(I18&gt;0,'[14]EvaluaciónRiesgoCorrup 1'!$F$11&lt;51,D18=1,E18=20),$G$25," ")))</f>
        <v xml:space="preserve"> </v>
      </c>
      <c r="BJ18" s="29" t="str">
        <f>IF(AND(I18&gt;0,'[14]EvaluaciónRiesgoCorrup 1'!$F$11&lt;51,D18=2,E18=5),$E$26,IF(AND(I18&gt;0,'[14]EvaluaciónRiesgoCorrup 1'!$F$11&lt;51,D18=2,E18=10),$F$26,IF(AND(I18&gt;0,'[14]EvaluaciónRiesgoCorrup 1'!$F$11&lt;51,D18=2,E18=20),$G$26," ")))</f>
        <v xml:space="preserve"> </v>
      </c>
      <c r="BK18" s="29" t="str">
        <f>IF(AND(I18&gt;0,'[14]EvaluaciónRiesgoCorrup 1'!$F$11&lt;51,D18=3,E18=5),$E$27,IF(AND(I18&gt;0,'[14]EvaluaciónRiesgoCorrup 1'!$F$11&lt;51,D18=3,E18=10),$F$27,IF(AND(I18&gt;0,'[14]EvaluaciónRiesgoCorrup 1'!$F$11&lt;51,D18=3,E18=20),$G$27," ")))</f>
        <v xml:space="preserve"> </v>
      </c>
      <c r="BL18" s="29" t="str">
        <f>IF(AND(I18&gt;0,'[14]EvaluaciónRiesgoCorrup 1'!$F$11&lt;51,D18=4,E18=5),$E$28,IF(AND(I18&gt;0,'[14]EvaluaciónRiesgoCorrup 1'!$F$11&lt;51,D18=4,E18=10),$F$28,IF(AND(I18&gt;0,'[14]EvaluaciónRiesgoCorrup 1'!$F$11&lt;51,D18=4,E18=20),$G$28," ")))</f>
        <v xml:space="preserve"> </v>
      </c>
      <c r="BM18" s="29" t="str">
        <f>IF(AND(I18&gt;0,'[14]EvaluaciónRiesgoCorrup 1'!$F$11&lt;51,D18=5,E18=5),$E$29,IF(AND(I18&gt;0,'[14]EvaluaciónRiesgoCorrup 1'!$F$11&lt;51,D18=5,E18=10),$F$29,IF(AND(I18&gt;0,'[14]EvaluaciónRiesgoCorrup 1'!$F$11&lt;51,D18=5,E18=20),$G$29," ")))</f>
        <v xml:space="preserve"> </v>
      </c>
    </row>
    <row r="19" spans="1:65" ht="153.75" customHeight="1" x14ac:dyDescent="0.3">
      <c r="A19" s="32">
        <f>[14]IdentRiesgo!A8</f>
        <v>0</v>
      </c>
      <c r="B19" s="22">
        <f>[14]IdentRiesgo!B8</f>
        <v>0</v>
      </c>
      <c r="C19" s="22">
        <f>[14]IdentRiesgo!D8</f>
        <v>0</v>
      </c>
      <c r="D19" s="23" t="str">
        <f>IF([14]AnálisisRiesgo!B11&gt;0,5,IF([14]AnálisisRiesgo!C11&gt;0,4,IF([14]AnálisisRiesgo!D11&gt;0,3,IF([14]AnálisisRiesgo!E11&gt;0,2,IF([14]AnálisisRiesgo!F11&gt;0,1,"")))))</f>
        <v/>
      </c>
      <c r="E19" s="23" t="str">
        <f>IF([14]AnálisisRiesgo!G11&gt;0,5,IF([14]AnálisisRiesgo!H11&gt;0,4,IF([14]AnálisisRiesgo!I11&gt;0,3,IF([14]AnálisisRiesgo!J11&gt;0,2,IF([14]AnálisisRiesgo!K11&gt;0,1,IF([14]AnálisisRiesgo!L11&gt;0,20,IF([14]AnálisisRiesgo!M11&gt;0,10,IF([14]AnálisisRiesgo!N11&gt;0,5,""))))))))</f>
        <v/>
      </c>
      <c r="F19" s="23" t="str">
        <f t="shared" si="0"/>
        <v xml:space="preserve">     </v>
      </c>
      <c r="G19" s="24"/>
      <c r="H19" s="49"/>
      <c r="I19" s="26"/>
      <c r="J19" s="23" t="str">
        <f t="shared" si="1"/>
        <v xml:space="preserve">                              </v>
      </c>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IF(AND(H19&gt;0,'[14]EvaluaciónRiesgoCorrup 1'!$F$11&gt;75,D19=1,E19=5),$E$25,IF(AND(H19&gt;0,'[14]EvaluaciónRiesgoCorrup 1'!$F$11&gt;75,D19=1,E19=10),$F$25,IF(AND(H19&gt;0,'[14]EvaluaciónRiesgoCorrup 1'!$F$11&gt;75,D19=1,E19=20),$G$25," ")))</f>
        <v xml:space="preserve"> </v>
      </c>
      <c r="AA19" s="29" t="str">
        <f>IF(AND(H19&gt;0,'[14]EvaluaciónRiesgoCorrup 1'!$F$11&gt;75,D19=2,E19=5),$E$25,IF(AND(H19&gt;0,'[14]EvaluaciónRiesgoCorrup 1'!$F$11&gt;75,D19=2,E19=10),$F$25,IF(AND(H19&gt;0,'[14]EvaluaciónRiesgoCorrup 1'!$F$11&gt;75,D19=2,E19=20),$G$25," ")))</f>
        <v xml:space="preserve"> </v>
      </c>
      <c r="AB19" s="29" t="str">
        <f>IF(AND(H19&gt;0,'[14]EvaluaciónRiesgoCorrup 1'!$F$11&gt;75,D19=3,E19=5),$E$25,IF(AND(H19&gt;0,'[14]EvaluaciónRiesgoCorrup 1'!$F$11&gt;75,D19=3,E19=10),$F$25,IF(AND(H19&gt;0,'[14]EvaluaciónRiesgoCorrup 1'!$F$11&gt;75,D19=3,E19=20),$G$25," ")))</f>
        <v xml:space="preserve"> </v>
      </c>
      <c r="AC19" s="29" t="str">
        <f>IF(AND(H19&gt;0,'[14]EvaluaciónRiesgoCorrup 1'!$F$11&gt;75,D19=4,E19=5),$E$26,IF(AND(H19&gt;0,'[14]EvaluaciónRiesgoCorrup 1'!$F$11&gt;75,D19=4,E19=10),$F$26,IF(AND(H19&gt;0,'[14]EvaluaciónRiesgoCorrup 1'!$F$11&gt;75,D19=4,E19=20),$G$26," ")))</f>
        <v xml:space="preserve"> </v>
      </c>
      <c r="AD19" s="29" t="str">
        <f>IF(AND(H19&gt;0,'[14]EvaluaciónRiesgoCorrup 1'!$F$11&gt;75,D19=5,E19=5),$E$27,IF(AND(H19&gt;0,'[14]EvaluaciónRiesgoCorrup 1'!$F$11&gt;75,D19=5,E19=10),$F$27,IF(AND(H19&gt;0,'[14]EvaluaciónRiesgoCorrup 1'!$F$11&gt;75,D19=5,E19=20),$G$27," ")))</f>
        <v xml:space="preserve"> </v>
      </c>
      <c r="AF19" s="29" t="str">
        <f>IF(AND(H19&gt;0,'[14]EvaluaciónRiesgoCorrup 1'!$F$11&gt;50,'[14]EvaluaciónRiesgoCorrup 1'!$F$11&lt;76,D19=1,E19=5),$E$25,IF(AND(H19&gt;0,'[14]EvaluaciónRiesgoCorrup 1'!$F$11&gt;50,'[14]EvaluaciónRiesgoCorrup 1'!$F$11&lt;76,D19=1,E19=10),$F$25,IF(AND(H19&gt;0,'[14]EvaluaciónRiesgoCorrup 1'!$F$11&gt;50,'[14]EvaluaciónRiesgoCorrup 1'!$F$11&lt;76,D19=1,E19=20),$G$25," ")))</f>
        <v xml:space="preserve"> </v>
      </c>
      <c r="AG19" s="29" t="str">
        <f>IF(AND(H19&gt;0,'[14]EvaluaciónRiesgoCorrup 1'!$F$11&gt;50,'[14]EvaluaciónRiesgoCorrup 1'!$F$11&lt;76,D19=2,E19=5),$E$25,IF(AND(H19&gt;0,'[14]EvaluaciónRiesgoCorrup 1'!$F$11&gt;50,'[14]EvaluaciónRiesgoCorrup 1'!$F$11&lt;76,D19=2,E19=10),$F$25,IF(AND(H19&gt;0,'[14]EvaluaciónRiesgoCorrup 1'!$F$11&gt;50,'[14]EvaluaciónRiesgoCorrup 1'!$F$11&lt;76,D19=2,E19=20),$G$25," ")))</f>
        <v xml:space="preserve"> </v>
      </c>
      <c r="AH19" s="29" t="str">
        <f>IF(AND(H19&gt;0,'[14]EvaluaciónRiesgoCorrup 1'!$F$11&gt;50,'[14]EvaluaciónRiesgoCorrup 1'!$F$11&lt;76,D19=3,E19=5),$E$26,IF(AND(H19&gt;0,'[14]EvaluaciónRiesgoCorrup 1'!$F$11&gt;50,'[14]EvaluaciónRiesgoCorrup 1'!$F$11&lt;76,D19=3,E19=10),$F$26,IF(AND(H19&gt;0,'[14]EvaluaciónRiesgoCorrup 1'!$F$11&gt;50,'[14]EvaluaciónRiesgoCorrup 1'!$F$11&lt;76,D19=3,E19=20),$G$26," ")))</f>
        <v xml:space="preserve"> </v>
      </c>
      <c r="AI19" s="29" t="str">
        <f>IF(AND(H19&gt;0,'[14]EvaluaciónRiesgoCorrup 1'!$F$11&gt;50,'[14]EvaluaciónRiesgoCorrup 1'!$F$11&lt;76,D19=4,E19=5),$E$27,IF(AND(H19&gt;0,'[14]EvaluaciónRiesgoCorrup 1'!$F$11&gt;50,'[14]EvaluaciónRiesgoCorrup 1'!$F$11&lt;76,D19=4,E19=10),$F$27,IF(AND(H19&gt;0,'[14]EvaluaciónRiesgoCorrup 1'!$F$11&gt;50,'[14]EvaluaciónRiesgoCorrup 1'!$F$11&lt;76,D19=4,E19=20),$G$27," ")))</f>
        <v xml:space="preserve"> </v>
      </c>
      <c r="AJ19" s="29" t="str">
        <f>IF(AND(H19&gt;0,'[14]EvaluaciónRiesgoCorrup 1'!$F$11&gt;50,'[14]EvaluaciónRiesgoCorrup 1'!$F$11&lt;76,D19=5,E19=5),$E$28,IF(AND(H19&gt;0,'[14]EvaluaciónRiesgoCorrup 1'!$F$11&gt;50,'[14]EvaluaciónRiesgoCorrup 1'!$F$11&lt;76,D19=5,E19=10),$F$28,IF(AND(H19&gt;0,'[14]EvaluaciónRiesgoCorrup 1'!$F$11&gt;50,'[14]EvaluaciónRiesgoCorrup 1'!$F$11&lt;76,D19=5,E19=20),$G$28," ")))</f>
        <v xml:space="preserve"> </v>
      </c>
      <c r="AM19" s="29" t="str">
        <f>IF(AND(H19&gt;0,'[14]EvaluaciónRiesgoCorrup 1'!$F$11&lt;51,D19=1,E19=5),$E$25,IF(AND(H19&gt;0,'[14]EvaluaciónRiesgoCorrup 1'!$F$11&lt;51,D19=1,E19=10),$F$25,IF(AND(H19&gt;0,'[14]EvaluaciónRiesgoCorrup 1'!$F$11&lt;51,D19=1,E19=20),G$25," ")))</f>
        <v xml:space="preserve"> </v>
      </c>
      <c r="AN19" s="29" t="str">
        <f>IF(AND(H19&gt;0,'[14]EvaluaciónRiesgoCorrup 1'!$F$11&lt;51,D19=2,E19=5),$E$26,IF(AND(H19&gt;0,'[14]EvaluaciónRiesgoCorrup 1'!$F$11&lt;51,D19=2,E19=10),$F$26,IF(AND(H19&gt;0,'[14]EvaluaciónRiesgoCorrup 1'!$F$11&lt;51,D19=2,E19=20),G$26," ")))</f>
        <v xml:space="preserve"> </v>
      </c>
      <c r="AO19" s="29" t="str">
        <f>IF(AND(H19&gt;0,'[14]EvaluaciónRiesgoCorrup 1'!$F$11&lt;51,D19=3,E19=5),$E$27,IF(AND(H19&gt;0,'[14]EvaluaciónRiesgoCorrup 1'!$F$11&lt;51,D19=3,E19=10),$F$27,IF(AND(H19&gt;0,'[14]EvaluaciónRiesgoCorrup 1'!$F$11&lt;51,D19=3,E19=20),G$27," ")))</f>
        <v xml:space="preserve"> </v>
      </c>
      <c r="AP19" s="29" t="str">
        <f>IF(AND(H19&gt;0,'[14]EvaluaciónRiesgoCorrup 1'!$F$11&lt;51,D19=4,E19=5),$E$28,IF(AND(H19&gt;0,'[14]EvaluaciónRiesgoCorrup 1'!$F$11&lt;51,D19=4,E19=10),$F$28,IF(AND(H19&gt;0,'[14]EvaluaciónRiesgoCorrup 1'!$F$11&lt;51,D19=4,E19=20),G$28," ")))</f>
        <v xml:space="preserve"> </v>
      </c>
      <c r="AQ19" s="29" t="str">
        <f>IF(AND(H19&gt;0,'[14]EvaluaciónRiesgoCorrup 1'!$F$11&lt;51,D19=5,E19=5),$E$29,IF(AND(H19&gt;0,'[14]EvaluaciónRiesgoCorrup 1'!$F$11&lt;51,D19=5,E19=10),$F$29,IF(AND(H19&gt;0,'[14]EvaluaciónRiesgoCorrup 1'!$F$11&lt;51,D19=5,E19=20),G$29," ")))</f>
        <v xml:space="preserve"> </v>
      </c>
      <c r="AU19" s="29" t="str">
        <f>IF(AND(I19&gt;0,'[14]EvaluaciónRiesgoCorrup 1'!$F$11&gt;75,D19=1,E19=5),$E$25,IF(AND(I19&gt;0,'[14]EvaluaciónRiesgoCorrup 1'!$F$11&gt;75,D19=1,E19=10),$E$25,IF(AND(I19&gt;0,'[14]EvaluaciónRiesgoCorrup 1'!$F$11&gt;75,D19=1,E19=20),$E$25," ")))</f>
        <v xml:space="preserve"> </v>
      </c>
      <c r="AV19" s="29" t="str">
        <f>IF(AND(I19&gt;0,'[14]EvaluaciónRiesgoCorrup 1'!$F$11&gt;75,D19=2,E19=5),$E$26,IF(AND(I19&gt;0,'[14]EvaluaciónRiesgoCorrup 1'!$F$11&gt;75,D19=2,E19=10),$E$26,IF(AND(I19&gt;0,'[14]EvaluaciónRiesgoCorrup 1'!$F$11&gt;75,D19=2,E19=20),$E$26," ")))</f>
        <v xml:space="preserve"> </v>
      </c>
      <c r="AW19" s="29" t="str">
        <f>IF(AND(I19&gt;0,'[14]EvaluaciónRiesgoCorrup 1'!$F$11&gt;75,D19=3,E19=5),$E$27,IF(AND(I19&gt;0,'[14]EvaluaciónRiesgoCorrup 1'!$F$11&gt;75,D19=3,E19=10),$E$27,IF(AND(I19&gt;0,'[14]EvaluaciónRiesgoCorrup 1'!$F$11&gt;75,D19=3,E19=20),$E$27," ")))</f>
        <v xml:space="preserve"> </v>
      </c>
      <c r="AX19" s="29" t="str">
        <f>IF(AND(I19&gt;0,'[14]EvaluaciónRiesgoCorrup 1'!$F$11&gt;75,D19=4,E19=5),$E$28,IF(AND(I19&gt;0,'[14]EvaluaciónRiesgoCorrup 1'!$F$11&gt;75,D19=4,E19=10),$E$28,IF(AND(I19&gt;0,'[14]EvaluaciónRiesgoCorrup 1'!$F$11&gt;75,D19=4,E19=20),$E$28," ")))</f>
        <v xml:space="preserve"> </v>
      </c>
      <c r="AY19" s="29" t="str">
        <f>IF(AND(I19&gt;0,'[14]EvaluaciónRiesgoCorrup 1'!$F$11&gt;75,D19=5,E19=5),$E$29,IF(AND(I19&gt;0,'[14]EvaluaciónRiesgoCorrup 1'!$F$11&gt;75,D19=5,E19=10),$E$29,IF(AND(I19&gt;0,'[14]EvaluaciónRiesgoCorrup 1'!$F$11&gt;75,D19=5,E19=20),$E$29," ")))</f>
        <v xml:space="preserve"> </v>
      </c>
      <c r="BB19" s="29" t="str">
        <f>IF(AND(I19&gt;0,'[14]EvaluaciónRiesgoCorrup 1'!$F$11&gt;50,'[14]EvaluaciónRiesgoCorrup 1'!$F$11&lt;76,D19=1,E19=5),$E$25,IF(AND(I19&gt;0,'[14]EvaluaciónRiesgoCorrup 1'!$F$11&gt;50,'[14]EvaluaciónRiesgoCorrup 1'!$F$11&lt;76,D19=1,E19=10),$E$25,IF(AND(I19&gt;0,'[14]EvaluaciónRiesgoCorrup 1'!$F$11&gt;50,'[14]EvaluaciónRiesgoCorrup 1'!$F$11&lt;76,D19=1,E19=20),$F$25," ")))</f>
        <v xml:space="preserve"> </v>
      </c>
      <c r="BC19" s="29" t="str">
        <f>IF(AND(I19&gt;0,'[14]EvaluaciónRiesgoCorrup 1'!$F$11&gt;50,'[14]EvaluaciónRiesgoCorrup 1'!$F$11&lt;76,D19=2,E19=5),$E$26,IF(AND(I19&gt;0,'[14]EvaluaciónRiesgoCorrup 1'!$F$11&gt;50,'[14]EvaluaciónRiesgoCorrup 1'!$F$11&lt;76,D19=2,E19=10),$E$26,IF(AND(I19&gt;0,'[14]EvaluaciónRiesgoCorrup 1'!$F$11&gt;50,'[14]EvaluaciónRiesgoCorrup 1'!$F$11&lt;76,D19=2,E19=20),$F$26," ")))</f>
        <v xml:space="preserve"> </v>
      </c>
      <c r="BD19" s="29" t="str">
        <f>IF(AND(I19&gt;0,'[14]EvaluaciónRiesgoCorrup 1'!$F$11&gt;50,'[14]EvaluaciónRiesgoCorrup 1'!$F$11&lt;76,D19=3,E19=5),$E$27,IF(AND(I19&gt;0,'[14]EvaluaciónRiesgoCorrup 1'!$F$11&gt;50,'[14]EvaluaciónRiesgoCorrup 1'!$F$11&lt;76,D19=3,E19=10),$E$27,IF(AND(I19&gt;0,'[14]EvaluaciónRiesgoCorrup 1'!$F$11&gt;50,'[14]EvaluaciónRiesgoCorrup 1'!$F$11&lt;76,D19=3,E19=20),$F$27," ")))</f>
        <v xml:space="preserve"> </v>
      </c>
      <c r="BE19" s="29" t="str">
        <f>IF(AND(I19&gt;0,'[14]EvaluaciónRiesgoCorrup 1'!$F$11&gt;50,'[14]EvaluaciónRiesgoCorrup 1'!$F$11&lt;76,D19=4,E19=5),$E$28,IF(AND(I19&gt;0,'[14]EvaluaciónRiesgoCorrup 1'!$F$11&gt;50,'[14]EvaluaciónRiesgoCorrup 1'!$F$11&lt;76,D19=4,E19=10),$E$28,IF(AND(I19&gt;0,'[14]EvaluaciónRiesgoCorrup 1'!$F$11&gt;50,'[14]EvaluaciónRiesgoCorrup 1'!$F$11&lt;76,D19=4,E19=20),$F$28," ")))</f>
        <v xml:space="preserve"> </v>
      </c>
      <c r="BF19" s="29" t="str">
        <f>IF(AND(I19&gt;0,'[14]EvaluaciónRiesgoCorrup 1'!$F$11&gt;50,'[14]EvaluaciónRiesgoCorrup 1'!$F$11&lt;76,D19=5,E19=5),$E$29,IF(AND(I19&gt;0,'[14]EvaluaciónRiesgoCorrup 1'!$F$11&gt;50,'[14]EvaluaciónRiesgoCorrup 1'!$F$11&lt;76,D19=5,E19=10),$E$29,IF(AND(I19&gt;0,'[14]EvaluaciónRiesgoCorrup 1'!$F$11&gt;50,'[14]EvaluaciónRiesgoCorrup 1'!$F$11&lt;76,D19=5,E19=20),$F$29," ")))</f>
        <v xml:space="preserve"> </v>
      </c>
      <c r="BI19" s="29" t="str">
        <f>IF(AND(I19&gt;0,'[14]EvaluaciónRiesgoCorrup 1'!$F$11&lt;51,D19=1,E19=5),$E$25,IF(AND(I19&gt;0,'[14]EvaluaciónRiesgoCorrup 1'!$F$11&lt;51,D19=1,E19=10),$F$25,IF(AND(I19&gt;0,'[14]EvaluaciónRiesgoCorrup 1'!$F$11&lt;51,D19=1,E19=20),$G$25," ")))</f>
        <v xml:space="preserve"> </v>
      </c>
      <c r="BJ19" s="29" t="str">
        <f>IF(AND(I19&gt;0,'[14]EvaluaciónRiesgoCorrup 1'!$F$11&lt;51,D19=2,E19=5),$E$26,IF(AND(I19&gt;0,'[14]EvaluaciónRiesgoCorrup 1'!$F$11&lt;51,D19=2,E19=10),$F$26,IF(AND(I19&gt;0,'[14]EvaluaciónRiesgoCorrup 1'!$F$11&lt;51,D19=2,E19=20),$G$26," ")))</f>
        <v xml:space="preserve"> </v>
      </c>
      <c r="BK19" s="29" t="str">
        <f>IF(AND(I19&gt;0,'[14]EvaluaciónRiesgoCorrup 1'!$F$11&lt;51,D19=3,E19=5),$E$27,IF(AND(I19&gt;0,'[14]EvaluaciónRiesgoCorrup 1'!$F$11&lt;51,D19=3,E19=10),$F$27,IF(AND(I19&gt;0,'[14]EvaluaciónRiesgoCorrup 1'!$F$11&lt;51,D19=3,E19=20),$G$27," ")))</f>
        <v xml:space="preserve"> </v>
      </c>
      <c r="BL19" s="29" t="str">
        <f>IF(AND(I19&gt;0,'[14]EvaluaciónRiesgoCorrup 1'!$F$11&lt;51,D19=4,E19=5),$E$28,IF(AND(I19&gt;0,'[14]EvaluaciónRiesgoCorrup 1'!$F$11&lt;51,D19=4,E19=10),$F$28,IF(AND(I19&gt;0,'[14]EvaluaciónRiesgoCorrup 1'!$F$11&lt;51,D19=4,E19=20),$G$28," ")))</f>
        <v xml:space="preserve"> </v>
      </c>
      <c r="BM19" s="29" t="str">
        <f>IF(AND(I19&gt;0,'[14]EvaluaciónRiesgoCorrup 1'!$F$11&lt;51,D19=5,E19=5),$E$29,IF(AND(I19&gt;0,'[14]EvaluaciónRiesgoCorrup 1'!$F$11&lt;51,D19=5,E19=10),$F$29,IF(AND(I19&gt;0,'[14]EvaluaciónRiesgoCorrup 1'!$F$11&lt;51,D19=5,E19=20),$G$29," ")))</f>
        <v xml:space="preserve"> </v>
      </c>
    </row>
    <row r="20" spans="1:65" ht="13.9" x14ac:dyDescent="0.3">
      <c r="A20" s="32"/>
      <c r="B20" s="22"/>
      <c r="C20" s="22"/>
    </row>
    <row r="21" spans="1:65" ht="13.9" x14ac:dyDescent="0.3">
      <c r="A21" s="29"/>
      <c r="B21" s="31"/>
      <c r="C21" s="31"/>
    </row>
    <row r="22" spans="1:65" ht="14.45" thickBot="1" x14ac:dyDescent="0.35">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3:D24"/>
    <mergeCell ref="E23:G23"/>
    <mergeCell ref="K15:M15"/>
  </mergeCells>
  <conditionalFormatting sqref="F17:F19 J17:J19">
    <cfRule type="containsText" dxfId="15" priority="1" operator="containsText" text="E">
      <formula>NOT(ISERROR(SEARCH("E",F17)))</formula>
    </cfRule>
    <cfRule type="containsText" dxfId="14" priority="2" operator="containsText" text="M">
      <formula>NOT(ISERROR(SEARCH("M",F17)))</formula>
    </cfRule>
    <cfRule type="containsText" dxfId="13" priority="3" operator="containsText" text="A">
      <formula>NOT(ISERROR(SEARCH("A",F17)))</formula>
    </cfRule>
    <cfRule type="containsText" dxfId="12"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view="pageBreakPreview" topLeftCell="B1" zoomScale="40" zoomScaleNormal="60" zoomScaleSheetLayoutView="4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21.5703125" style="5" customWidth="1"/>
    <col min="9" max="9" width="18.5703125" style="2" customWidth="1"/>
    <col min="10" max="10" width="21.7109375" style="2" customWidth="1"/>
    <col min="11" max="11" width="19.85546875" style="2" customWidth="1"/>
    <col min="12" max="12" width="35.140625" style="2" customWidth="1"/>
    <col min="13" max="13" width="17" style="2" customWidth="1"/>
    <col min="14" max="14" width="36.42578125" style="5" customWidth="1"/>
    <col min="15" max="15" width="26.5703125" style="2" customWidth="1"/>
    <col min="16" max="18" width="30.42578125" style="2" customWidth="1"/>
    <col min="19" max="19" width="36" style="2" hidden="1" customWidth="1"/>
    <col min="20"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[15]IdentRiesgo!B2</f>
        <v>Gestion del Desarrollo del Talento Humano</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[15]IdentRiesgo!B3</f>
        <v xml:space="preserve">Administrar y promover el desarrollo integral del talento humano de la Entidad, a través de la implementación de políticas, planes, programas y acciones que fortalezcan la calidad de vida laboral de los trabajadores y garanticen una mejor prestación de los servicios que ofrece el IDEAM. </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91</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1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18" t="s">
        <v>28</v>
      </c>
      <c r="E16" s="18" t="s">
        <v>12</v>
      </c>
      <c r="F16" s="18" t="s">
        <v>29</v>
      </c>
      <c r="G16" s="107"/>
      <c r="H16" s="18" t="s">
        <v>28</v>
      </c>
      <c r="I16" s="18" t="s">
        <v>12</v>
      </c>
      <c r="J16" s="20" t="s">
        <v>29</v>
      </c>
      <c r="K16" s="18" t="s">
        <v>30</v>
      </c>
      <c r="L16" s="18" t="s">
        <v>26</v>
      </c>
      <c r="M16" s="18" t="s">
        <v>31</v>
      </c>
      <c r="N16" s="110"/>
      <c r="O16" s="110"/>
      <c r="P16" s="110"/>
      <c r="Q16" s="110"/>
    </row>
    <row r="17" spans="1:65" ht="316.5" customHeight="1" x14ac:dyDescent="0.25">
      <c r="A17" s="22" t="str">
        <f>[15]IdentRiesgo!A6</f>
        <v>1.Modificaciòn indebida  del Manual de Funciones y competencias.            2.Fallas en el control de la revisiòn de los requisitos para el empleo.             3.Errores voluntarios en la entrega de informaciòn a la Comisiòn Nacional del Sevicio civil.</v>
      </c>
      <c r="B17" s="22" t="str">
        <f>[15]IdentRiesgo!B6</f>
        <v>Vinculacion  indebida de posesiones o encargos a servidores públicos que no cumplen con los requisitos establecidos en el Manual de Funciones y Compecias y requisitos de Ley.</v>
      </c>
      <c r="C17" s="22" t="str">
        <f>[15]IdentRiesgo!D6</f>
        <v xml:space="preserve">1.Sanciones Disciplinarias.   2.Deficiencias en el desarrollo de los procesos estrategicos, misionales, apoyo y evaluaciòn.  3. Perdida de la imagen institucional.        </v>
      </c>
      <c r="D17" s="23">
        <f>IF([15]AnálisisRiesgo!B9&gt;0,5,IF([15]AnálisisRiesgo!C9&gt;0,4,IF([15]AnálisisRiesgo!D9&gt;0,3,IF([15]AnálisisRiesgo!E9&gt;0,2,IF([15]AnálisisRiesgo!F9&gt;0,1,"")))))</f>
        <v>1</v>
      </c>
      <c r="E17" s="23">
        <f>IF([15]AnálisisRiesgo!G9&gt;0,5,IF([15]AnálisisRiesgo!H9&gt;0,4,IF([15]AnálisisRiesgo!I9&gt;0,3,IF([15]AnálisisRiesgo!J9&gt;0,2,IF([15]AnálisisRiesgo!K9&gt;0,1,IF([15]AnálisisRiesgo!L9&gt;0,20,IF([15]AnálisisRiesgo!M9&gt;0,10,IF([15]AnálisisRiesgo!N9&gt;0,5,""))))))))</f>
        <v>20</v>
      </c>
      <c r="F17" s="23" t="str">
        <f>CONCATENATE(S17,T17,U17,V17,W17)</f>
        <v xml:space="preserve">M    </v>
      </c>
      <c r="G17" s="50" t="s">
        <v>92</v>
      </c>
      <c r="H17" s="49"/>
      <c r="I17" s="26" t="s">
        <v>32</v>
      </c>
      <c r="J17" s="23" t="str">
        <f>CONCATENATE(Z17,AA17,AB17,AC17,AD17,AF17,AG17,AH17,AI17,AJ17,AM17,AN17,AO17,AP17,AQ17,AU17,AV17,AW17,AX17,AY17,BB17,BC17,BD17,BE17,BF17,BI17,BJ17,BK17,BL17,BM17)</f>
        <v xml:space="preserve">               B              </v>
      </c>
      <c r="K17" s="23" t="s">
        <v>93</v>
      </c>
      <c r="L17" s="24" t="s">
        <v>94</v>
      </c>
      <c r="M17" s="23" t="s">
        <v>95</v>
      </c>
      <c r="N17" s="27"/>
      <c r="O17" s="27"/>
      <c r="P17" s="27"/>
      <c r="Q17" s="29"/>
      <c r="S17" s="29" t="str">
        <f>IF(AND(D17=1,E17=5),$E$25,IF(AND(D17=1,E17=10),$F$25,IF(AND(D17=1,E17=20),$G$25," ")))</f>
        <v>M</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IF(AND(H17&gt;0,'[15]Evalaucion Riesgo R1'!$F$11&gt;75,D17=1,E17=5),$E$25,IF(AND(H17&gt;0,'[15]Evalaucion Riesgo R1'!$F$11&gt;75,D17=1,E17=10),$F$25,IF(AND(H17&gt;0,'[15]Evalaucion Riesgo R1'!$F$11&gt;75,D17=1,E17=20),$G$25," ")))</f>
        <v xml:space="preserve"> </v>
      </c>
      <c r="AA17" s="29" t="str">
        <f>IF(AND(H17&gt;0,'[15]Evalaucion Riesgo R1'!$F$11&gt;75,D17=2,E17=5),$E$25,IF(AND(H17&gt;0,'[15]Evalaucion Riesgo R1'!$F$11&gt;75,D17=2,E17=10),$F$25,IF(AND(H17&gt;0,'[15]Evalaucion Riesgo R1'!$F$11&gt;75,D17=2,E17=20),$G$25," ")))</f>
        <v xml:space="preserve"> </v>
      </c>
      <c r="AB17" s="29" t="str">
        <f>IF(AND(H17&gt;0,'[15]Evalaucion Riesgo R1'!$F$11&gt;75,D17=3,E17=5),$E$25,IF(AND(H17&gt;0,'[15]Evalaucion Riesgo R1'!$F$11&gt;75,D17=3,E17=10),$F$25,IF(AND(H17&gt;0,'[15]Evalaucion Riesgo R1'!$F$11&gt;75,D17=3,E17=20),$G$25," ")))</f>
        <v xml:space="preserve"> </v>
      </c>
      <c r="AC17" s="29" t="str">
        <f>IF(AND(H17&gt;0,'[15]Evalaucion Riesgo R1'!$F$11&gt;75,D17=4,E17=5),$E$26,IF(AND(H17&gt;0,'[15]Evalaucion Riesgo R1'!$F$11&gt;75,D17=4,E17=10),$F$26,IF(AND(H17&gt;0,'[15]Evalaucion Riesgo R1'!$F$11&gt;75,D17=4,E17=20),$G$26," ")))</f>
        <v xml:space="preserve"> </v>
      </c>
      <c r="AD17" s="29" t="str">
        <f>IF(AND(H17&gt;0,'[15]Evalaucion Riesgo R1'!$F$11&gt;75,D17=5,E17=5),$E$27,IF(AND(H17&gt;0,'[15]Evalaucion Riesgo R1'!$F$11&gt;75,D17=5,E17=10),$F$27,IF(AND(H17&gt;0,'[15]Evalaucion Riesgo R1'!$F$11&gt;75,D17=5,E17=20),$G$27," ")))</f>
        <v xml:space="preserve"> </v>
      </c>
      <c r="AE17" s="30" t="s">
        <v>36</v>
      </c>
      <c r="AF17" s="29" t="str">
        <f>IF(AND(H17&gt;0,'[15]Evalaucion Riesgo R1'!$F$11&gt;50,'[15]Evalaucion Riesgo R1'!$F$11&lt;76,D17=1,E17=5),$E$25,IF(AND(H17&gt;0,'[15]Evalaucion Riesgo R1'!$F$11&gt;50,'[15]Evalaucion Riesgo R1'!$F$11&lt;76,D17=1,E17=10),$F$25,IF(AND(H17&gt;0,'[15]Evalaucion Riesgo R1'!$F$11&gt;50,'[15]Evalaucion Riesgo R1'!$F$11&lt;76,D17=1,E17=20),$G$25," ")))</f>
        <v xml:space="preserve"> </v>
      </c>
      <c r="AG17" s="29" t="str">
        <f>IF(AND(H17&gt;0,'[15]Evalaucion Riesgo R1'!$F$11&gt;50,'[15]Evalaucion Riesgo R1'!$F$11&lt;76,D17=2,E17=5),$E$25,IF(AND(H17&gt;0,'[15]Evalaucion Riesgo R1'!$F$11&gt;50,'[15]Evalaucion Riesgo R1'!$F$11&lt;76,D17=2,E17=10),$F$25,IF(AND(H17&gt;0,'[15]Evalaucion Riesgo R1'!$F$11&gt;50,'[15]Evalaucion Riesgo R1'!$F$11&lt;76,D17=2,E17=20),$G$25," ")))</f>
        <v xml:space="preserve"> </v>
      </c>
      <c r="AH17" s="29" t="str">
        <f>IF(AND(H17&gt;0,'[15]Evalaucion Riesgo R1'!$F$11&gt;50,'[15]Evalaucion Riesgo R1'!$F$11&lt;76,D17=3,E17=5),$E$26,IF(AND(H17&gt;0,'[15]Evalaucion Riesgo R1'!$F$11&gt;50,'[15]Evalaucion Riesgo R1'!$F$11&lt;76,D17=3,E17=10),$F$26,IF(AND(H17&gt;0,'[15]Evalaucion Riesgo R1'!$F$11&gt;50,'[15]Evalaucion Riesgo R1'!$F$11&lt;76,D17=3,E17=20),$G$26," ")))</f>
        <v xml:space="preserve"> </v>
      </c>
      <c r="AI17" s="29" t="str">
        <f>IF(AND(H17&gt;0,'[15]Evalaucion Riesgo R1'!$F$11&gt;50,'[15]Evalaucion Riesgo R1'!$F$11&lt;76,D17=4,E17=5),$E$27,IF(AND(H17&gt;0,'[15]Evalaucion Riesgo R1'!$F$11&gt;50,'[15]Evalaucion Riesgo R1'!$F$11&lt;76,D17=4,E17=10),$F$27,IF(AND(H17&gt;0,'[15]Evalaucion Riesgo R1'!$F$11&gt;50,'[15]Evalaucion Riesgo R1'!$F$11&lt;76,D17=4,E17=20),$G$27," ")))</f>
        <v xml:space="preserve"> </v>
      </c>
      <c r="AJ17" s="29" t="str">
        <f>IF(AND(H17&gt;0,'[15]Evalaucion Riesgo R1'!$F$11&gt;50,'[15]Evalaucion Riesgo R1'!$F$11&lt;76,D17=5,E17=5),$E$28,IF(AND(H17&gt;0,'[15]Evalaucion Riesgo R1'!$F$11&gt;50,'[15]Evalaucion Riesgo R1'!$F$11&lt;76,D17=5,E17=10),$F$28,IF(AND(H17&gt;0,'[15]Evalaucion Riesgo R1'!$F$11&gt;50,'[15]Evalaucion Riesgo R1'!$F$11&lt;76,D17=5,E17=20),$G$28," ")))</f>
        <v xml:space="preserve"> </v>
      </c>
      <c r="AL17" s="30" t="s">
        <v>37</v>
      </c>
      <c r="AM17" s="29" t="str">
        <f>IF(AND(H17&gt;0,'[15]Evalaucion Riesgo R1'!$F$11&lt;51,D17=1,E17=5),$E$25,IF(AND(H17&gt;0,'[15]Evalaucion Riesgo R1'!$F$11&lt;51,D17=1,E17=10),$F$25,IF(AND(H17&gt;0,'[15]Evalaucion Riesgo R1'!$F$11&lt;51,D17=1,E17=20),G$25," ")))</f>
        <v xml:space="preserve"> </v>
      </c>
      <c r="AN17" s="29" t="str">
        <f>IF(AND(H17&gt;0,'[15]Evalaucion Riesgo R1'!$F$11&lt;51,D17=2,E17=5),$E$26,IF(AND(H17&gt;0,'[15]Evalaucion Riesgo R1'!$F$11&lt;51,D17=2,E17=10),$F$26,IF(AND(H17&gt;0,'[15]Evalaucion Riesgo R1'!$F$11&lt;51,D17=2,E17=20),G$26," ")))</f>
        <v xml:space="preserve"> </v>
      </c>
      <c r="AO17" s="29" t="str">
        <f>IF(AND(H17&gt;0,'[15]Evalaucion Riesgo R1'!$F$11&lt;51,D17=3,E17=5),$E$27,IF(AND(H17&gt;0,'[15]Evalaucion Riesgo R1'!$F$11&lt;51,D17=3,E17=10),$F$27,IF(AND(H17&gt;0,'[15]Evalaucion Riesgo R1'!$F$11&lt;51,D17=3,E17=20),G$27," ")))</f>
        <v xml:space="preserve"> </v>
      </c>
      <c r="AP17" s="29" t="str">
        <f>IF(AND(H17&gt;0,'[15]Evalaucion Riesgo R1'!$F$11&lt;51,D17=4,E17=5),$E$28,IF(AND(H17&gt;0,'[15]Evalaucion Riesgo R1'!$F$11&lt;51,D17=4,E17=10),$F$28,IF(AND(H17&gt;0,'[15]Evalaucion Riesgo R1'!$F$11&lt;51,D17=4,E17=20),G$28," ")))</f>
        <v xml:space="preserve"> </v>
      </c>
      <c r="AQ17" s="29" t="str">
        <f>IF(AND(H17&gt;0,'[15]Evalaucion Riesgo R1'!$F$11&lt;51,D17=5,E17=5),$E$29,IF(AND(H17&gt;0,'[15]Evalaucion Riesgo R1'!$F$11&lt;51,D17=5,E17=10),$F$29,IF(AND(H17&gt;0,'[15]Evalaucion Riesgo R1'!$F$11&lt;51,D17=5,E17=20),G$29," ")))</f>
        <v xml:space="preserve"> </v>
      </c>
      <c r="AT17" s="30" t="s">
        <v>35</v>
      </c>
      <c r="AU17" s="29" t="str">
        <f>IF(AND(I17&gt;0,'[15]Evalaucion Riesgo R1'!$F$11&gt;75,D17=1,E17=5),$E$25,IF(AND(I17&gt;0,'[15]Evalaucion Riesgo R1'!$F$11&gt;75,D17=1,E17=10),$E$25,IF(AND(I17&gt;0,'[15]Evalaucion Riesgo R1'!$F$11&gt;75,D17=1,E17=20),$E$25," ")))</f>
        <v>B</v>
      </c>
      <c r="AV17" s="29" t="str">
        <f>IF(AND(I17&gt;0,'[15]Evalaucion Riesgo R1'!$F$11&gt;75,D17=2,E17=5),$E$26,IF(AND(I17&gt;0,'[15]Evalaucion Riesgo R1'!$F$11&gt;75,D17=2,E17=10),$E$26,IF(AND(I17&gt;0,'[15]Evalaucion Riesgo R1'!$F$11&gt;75,D17=2,E17=20),$E$26," ")))</f>
        <v xml:space="preserve"> </v>
      </c>
      <c r="AW17" s="29" t="str">
        <f>IF(AND(I17&gt;0,'[15]Evalaucion Riesgo R1'!$F$11&gt;75,D17=3,E17=5),$E$27,IF(AND(I17&gt;0,'[15]Evalaucion Riesgo R1'!$F$11&gt;75,D17=3,E17=10),$E$27,IF(AND(I17&gt;0,'[15]Evalaucion Riesgo R1'!$F$11&gt;75,D17=3,E17=20),$E$27," ")))</f>
        <v xml:space="preserve"> </v>
      </c>
      <c r="AX17" s="29" t="str">
        <f>IF(AND(I17&gt;0,'[15]Evalaucion Riesgo R1'!$F$11&gt;75,D17=4,E17=5),$E$28,IF(AND(I17&gt;0,'[15]Evalaucion Riesgo R1'!$F$11&gt;75,D17=4,E17=10),$E$28,IF(AND(I17&gt;0,'[15]Evalaucion Riesgo R1'!$F$11&gt;75,D17=4,E17=20),$E$28," ")))</f>
        <v xml:space="preserve"> </v>
      </c>
      <c r="AY17" s="29" t="str">
        <f>IF(AND(I17&gt;0,'[15]Evalaucion Riesgo R1'!$F$11&gt;75,D17=5,E17=5),$E$29,IF(AND(I17&gt;0,'[15]Evalaucion Riesgo R1'!$F$11&gt;75,D17=5,E17=10),$E$29,IF(AND(I17&gt;0,'[15]Evalaucion Riesgo R1'!$F$11&gt;75,D17=5,E17=20),$E$29," ")))</f>
        <v xml:space="preserve"> </v>
      </c>
      <c r="BA17" s="30" t="s">
        <v>36</v>
      </c>
      <c r="BB17" s="29" t="str">
        <f>IF(AND(I17&gt;0,'[15]Evalaucion Riesgo R1'!$F$11&gt;50,'[15]Evalaucion Riesgo R1'!$F$11&lt;76,D17=1,E17=5),$E$25,IF(AND(I17&gt;0,'[15]Evalaucion Riesgo R1'!$F$11&gt;50,'[15]Evalaucion Riesgo R1'!$F$11&lt;76,D17=1,E17=10),$E$25,IF(AND(I17&gt;0,'[15]Evalaucion Riesgo R1'!$F$11&gt;50,'[15]Evalaucion Riesgo R1'!$F$11&lt;76,D17=1,E17=20),$F$25," ")))</f>
        <v xml:space="preserve"> </v>
      </c>
      <c r="BC17" s="29" t="str">
        <f>IF(AND(I17&gt;0,'[15]Evalaucion Riesgo R1'!$F$11&gt;50,'[15]Evalaucion Riesgo R1'!$F$11&lt;76,D17=2,E17=5),$E$26,IF(AND(I17&gt;0,'[15]Evalaucion Riesgo R1'!$F$11&gt;50,'[15]Evalaucion Riesgo R1'!$F$11&lt;76,D17=2,E17=10),$E$26,IF(AND(I17&gt;0,'[15]Evalaucion Riesgo R1'!$F$11&gt;50,'[15]Evalaucion Riesgo R1'!$F$11&lt;76,D17=2,E17=20),$F$26," ")))</f>
        <v xml:space="preserve"> </v>
      </c>
      <c r="BD17" s="29" t="str">
        <f>IF(AND(I17&gt;0,'[15]Evalaucion Riesgo R1'!$F$11&gt;50,'[15]Evalaucion Riesgo R1'!$F$11&lt;76,D17=3,E17=5),$E$27,IF(AND(I17&gt;0,'[15]Evalaucion Riesgo R1'!$F$11&gt;50,'[15]Evalaucion Riesgo R1'!$F$11&lt;76,D17=3,E17=10),$E$27,IF(AND(I17&gt;0,'[15]Evalaucion Riesgo R1'!$F$11&gt;50,'[15]Evalaucion Riesgo R1'!$F$11&lt;76,D17=3,E17=20),$F$27," ")))</f>
        <v xml:space="preserve"> </v>
      </c>
      <c r="BE17" s="29" t="str">
        <f>IF(AND(I17&gt;0,'[15]Evalaucion Riesgo R1'!$F$11&gt;50,'[15]Evalaucion Riesgo R1'!$F$11&lt;76,D17=4,E17=5),$E$28,IF(AND(I17&gt;0,'[15]Evalaucion Riesgo R1'!$F$11&gt;50,'[15]Evalaucion Riesgo R1'!$F$11&lt;76,D17=4,E17=10),$E$28,IF(AND(I17&gt;0,'[15]Evalaucion Riesgo R1'!$F$11&gt;50,'[15]Evalaucion Riesgo R1'!$F$11&lt;76,D17=4,E17=20),$F$28," ")))</f>
        <v xml:space="preserve"> </v>
      </c>
      <c r="BF17" s="29" t="str">
        <f>IF(AND(I17&gt;0,'[15]Evalaucion Riesgo R1'!$F$11&gt;50,'[15]Evalaucion Riesgo R1'!$F$11&lt;76,D17=5,E17=5),$E$29,IF(AND(I17&gt;0,'[15]Evalaucion Riesgo R1'!$F$11&gt;50,'[15]Evalaucion Riesgo R1'!$F$11&lt;76,D17=5,E17=10),$E$29,IF(AND(I17&gt;0,'[15]Evalaucion Riesgo R1'!$F$11&gt;50,'[15]Evalaucion Riesgo R1'!$F$11&lt;76,D17=5,E17=20),$F$29," ")))</f>
        <v xml:space="preserve"> </v>
      </c>
      <c r="BH17" s="30" t="s">
        <v>37</v>
      </c>
      <c r="BI17" s="29" t="str">
        <f>IF(AND(I17&gt;0,'[15]Evalaucion Riesgo R1'!$F$11&lt;51,D17=1,E17=5),$E$25,IF(AND(I17&gt;0,'[15]Evalaucion Riesgo R1'!$F$11&lt;51,D17=1,E17=10),$F$25,IF(AND(I17&gt;0,'[15]Evalaucion Riesgo R1'!$F$11&lt;51,D17=1,E17=20),$G$25," ")))</f>
        <v xml:space="preserve"> </v>
      </c>
      <c r="BJ17" s="29" t="str">
        <f>IF(AND(I17&gt;0,'[15]Evalaucion Riesgo R1'!$F$11&lt;51,D17=2,E17=5),$E$26,IF(AND(I17&gt;0,'[15]Evalaucion Riesgo R1'!$F$11&lt;51,D17=2,E17=10),$F$26,IF(AND(I17&gt;0,'[15]Evalaucion Riesgo R1'!$F$11&lt;51,D17=2,E17=20),$G$26," ")))</f>
        <v xml:space="preserve"> </v>
      </c>
      <c r="BK17" s="29" t="str">
        <f>IF(AND(I17&gt;0,'[15]Evalaucion Riesgo R1'!$F$11&lt;51,D17=3,E17=5),$E$27,IF(AND(I17&gt;0,'[15]Evalaucion Riesgo R1'!$F$11&lt;51,D17=3,E17=10),$F$27,IF(AND(I17&gt;0,'[15]Evalaucion Riesgo R1'!$F$11&lt;51,D17=3,E17=20),$G$27," ")))</f>
        <v xml:space="preserve"> </v>
      </c>
      <c r="BL17" s="29" t="str">
        <f>IF(AND(I17&gt;0,'[15]Evalaucion Riesgo R1'!$F$11&lt;51,D17=4,E17=5),$E$28,IF(AND(I17&gt;0,'[15]Evalaucion Riesgo R1'!$F$11&lt;51,D17=4,E17=10),$F$28,IF(AND(I17&gt;0,'[15]Evalaucion Riesgo R1'!$F$11&lt;51,D17=4,E17=20),$G$28," ")))</f>
        <v xml:space="preserve"> </v>
      </c>
      <c r="BM17" s="29" t="str">
        <f>IF(AND(I17&gt;0,'[15]Evalaucion Riesgo R1'!$F$11&lt;51,D17=5,E17=5),$E$29,IF(AND(I17&gt;0,'[15]Evalaucion Riesgo R1'!$F$11&lt;51,D17=5,E17=10),$F$29,IF(AND(I17&gt;0,'[15]Evalaucion Riesgo R1'!$F$11&lt;51,D17=5,E17=20),$G$29," ")))</f>
        <v xml:space="preserve"> </v>
      </c>
    </row>
    <row r="18" spans="1:65" ht="171" x14ac:dyDescent="0.25">
      <c r="A18" s="22" t="str">
        <f>[15]IdentRiesgo!A7</f>
        <v>1.Insuficientes controles de revisiòn.       2. Carga laboral acumulada.                     3. Fallas en el  manejo del aplicativo Perno.</v>
      </c>
      <c r="B18" s="22" t="str">
        <f>[15]IdentRiesgo!B7</f>
        <v>Reconocer a funcionarios lo no debido en cuanto a salarios y prestaciones de Ley.</v>
      </c>
      <c r="C18" s="22" t="str">
        <f>[15]IdentRiesgo!D7</f>
        <v>1.Detrimento patrimonial. 2.Perdida de confiabilidad del procedimiento de nòmina. 3.Afecta Clima Laboral.</v>
      </c>
      <c r="D18" s="23">
        <f>IF([15]AnálisisRiesgo!B10&gt;0,5,IF([15]AnálisisRiesgo!C10&gt;0,4,IF([15]AnálisisRiesgo!D10&gt;0,3,IF([15]AnálisisRiesgo!E10&gt;0,2,IF([15]AnálisisRiesgo!F10&gt;0,1,"")))))</f>
        <v>4</v>
      </c>
      <c r="E18" s="23">
        <f>IF([15]AnálisisRiesgo!G10&gt;0,5,IF([15]AnálisisRiesgo!H10&gt;0,4,IF([15]AnálisisRiesgo!I10&gt;0,3,IF([15]AnálisisRiesgo!J10&gt;0,2,IF([15]AnálisisRiesgo!K10&gt;0,1,IF([15]AnálisisRiesgo!L10&gt;0,20,IF([15]AnálisisRiesgo!M10&gt;0,10,IF([15]AnálisisRiesgo!N10&gt;0,5,""))))))))</f>
        <v>20</v>
      </c>
      <c r="F18" s="23" t="str">
        <f t="shared" ref="F18" si="0">CONCATENATE(S18,T18,U18,V18,W18)</f>
        <v xml:space="preserve">   E </v>
      </c>
      <c r="G18" s="24" t="s">
        <v>96</v>
      </c>
      <c r="H18" s="49"/>
      <c r="I18" s="26" t="s">
        <v>32</v>
      </c>
      <c r="J18" s="23" t="str">
        <f>CONCATENATE(Z18,AA18,AB18,AC18,AD18,AF18,AG18,AH18,AI18,AJ18,AM18,AN18,AO18,AP18,AQ18,AU18,AV18,AW18,AX18,AY18,BB18,BC18,BD18,BE18,BF18,BI18,BJ18,BK18,BL18,BM18)</f>
        <v xml:space="preserve">                            E </v>
      </c>
      <c r="K18" s="23" t="s">
        <v>33</v>
      </c>
      <c r="L18" s="24" t="s">
        <v>97</v>
      </c>
      <c r="M18" s="23" t="s">
        <v>98</v>
      </c>
      <c r="N18" s="27"/>
      <c r="O18" s="27"/>
      <c r="P18" s="27"/>
      <c r="Q18" s="29"/>
      <c r="S18" s="29" t="str">
        <f>IF(AND(D18=1,E18=5),$E$25,IF(AND(D18=1,E18=10),$F$25,IF(AND(D18=1,E18=20),$G$25," ")))</f>
        <v xml:space="preserve"> </v>
      </c>
      <c r="T18" s="29" t="str">
        <f>IF(AND(D18=2,E18=5),$E$26,IF(AND(D18=2,E18=10),$F$26,IF(AND(D18=2,E18=20),$G$26," ")))</f>
        <v xml:space="preserve"> </v>
      </c>
      <c r="U18" s="29" t="str">
        <f>IF(AND(D18=3,E18=5),$E$27,IF(AND(D18=3,E18=10),$F$27,IF(AND(D18=3,E18=20),$G$27," ")))</f>
        <v xml:space="preserve"> </v>
      </c>
      <c r="V18" s="29" t="str">
        <f>IF(AND(D18=4,E18=5),$E$28,IF(AND(D18=4,E18=10),$F$28,IF(AND(D18=4,E18=20),$G$28," ")))</f>
        <v>E</v>
      </c>
      <c r="W18" s="29" t="str">
        <f>IF(AND(D18=5,E18=5),$E$29,IF(AND(D18=5,E18=10),$F$29,IF(AND(D18=5,E18=20),$G$29," ")))</f>
        <v xml:space="preserve"> </v>
      </c>
      <c r="Z18" s="29" t="str">
        <f>IF(AND(H18&gt;0,'[15]Evalaucion Riesgo R2'!$F$11&gt;75,D18=1,E18=5),$E$25,IF(AND(H18&gt;0,'[15]Evalaucion Riesgo R2'!$F$11&gt;75,D18=1,E18=10),$F$25,IF(AND(H18&gt;0,'[15]Evalaucion Riesgo R2'!$F$11&gt;75,D18=1,E18=20),$G$25," ")))</f>
        <v xml:space="preserve"> </v>
      </c>
      <c r="AA18" s="29" t="str">
        <f>IF(AND(H18&gt;0,'[15]Evalaucion Riesgo R2'!$F$11&gt;75,D18=2,E18=5),$E$25,IF(AND(H18&gt;0,'[15]Evalaucion Riesgo R2'!$F$11&gt;75,D18=2,E18=10),$F$25,IF(AND(H18&gt;0,'[15]Evalaucion Riesgo R2'!$F$11&gt;75,D18=2,E18=20),$G$25," ")))</f>
        <v xml:space="preserve"> </v>
      </c>
      <c r="AB18" s="29" t="str">
        <f>IF(AND(H18&gt;0,'[15]Evalaucion Riesgo R2'!$F$11&gt;75,D18=3,E18=5),$E$25,IF(AND(H18&gt;0,'[15]Evalaucion Riesgo R2'!$F$11&gt;75,D18=3,E18=10),$F$25,IF(AND(H18&gt;0,'[15]Evalaucion Riesgo R2'!$F$11&gt;75,D18=3,E18=20),$G$25," ")))</f>
        <v xml:space="preserve"> </v>
      </c>
      <c r="AC18" s="29" t="str">
        <f>IF(AND(H18&gt;0,'[15]Evalaucion Riesgo R2'!$F$11&gt;75,D18=4,E18=5),$E$26,IF(AND(H18&gt;0,'[15]Evalaucion Riesgo R2'!$F$11&gt;75,D18=4,E18=10),$F$26,IF(AND(H18&gt;0,'[15]Evalaucion Riesgo R2'!$F$11&gt;75,D18=4,E18=20),$G$26," ")))</f>
        <v xml:space="preserve"> </v>
      </c>
      <c r="AD18" s="29" t="str">
        <f>IF(AND(H18&gt;0,'[15]Evalaucion Riesgo R2'!$F$11&gt;75,D18=5,E18=5),$E$27,IF(AND(H18&gt;0,'[15]Evalaucion Riesgo R2'!$F$11&gt;75,D18=5,E18=10),$F$27,IF(AND(H18&gt;0,'[15]Evalaucion Riesgo R2'!$F$11&gt;75,D18=5,E18=20),$G$27," ")))</f>
        <v xml:space="preserve"> </v>
      </c>
      <c r="AF18" s="29" t="str">
        <f>IF(AND(H18&gt;0,'[15]Evalaucion Riesgo R2'!$F$11&gt;50,'[15]Evalaucion Riesgo R2'!$F$11&lt;76,D18=1,E18=5),$E$25,IF(AND(H18&gt;0,'[15]Evalaucion Riesgo R2'!$F$11&gt;50,'[15]Evalaucion Riesgo R2'!$F$11&lt;76,D18=1,E18=10),$F$25,IF(AND(H18&gt;0,'[15]Evalaucion Riesgo R2'!$F$11&gt;50,'[15]Evalaucion Riesgo R2'!$F$11&lt;76,D18=1,E18=20),$G$25," ")))</f>
        <v xml:space="preserve"> </v>
      </c>
      <c r="AG18" s="29" t="str">
        <f>IF(AND(H18&gt;0,'[15]Evalaucion Riesgo R2'!$F$11&gt;50,'[15]Evalaucion Riesgo R2'!$F$11&lt;76,D18=2,E18=5),$E$25,IF(AND(H18&gt;0,'[15]Evalaucion Riesgo R2'!$F$11&gt;50,'[15]Evalaucion Riesgo R2'!$F$11&lt;76,D18=2,E18=10),$F$25,IF(AND(H18&gt;0,'[15]Evalaucion Riesgo R2'!$F$11&gt;50,'[15]Evalaucion Riesgo R2'!$F$11&lt;76,D18=2,E18=20),$G$25," ")))</f>
        <v xml:space="preserve"> </v>
      </c>
      <c r="AH18" s="29" t="str">
        <f>IF(AND(H18&gt;0,'[15]Evalaucion Riesgo R2'!$F$11&gt;50,'[15]Evalaucion Riesgo R2'!$F$11&lt;76,D18=3,E18=5),$E$26,IF(AND(H18&gt;0,'[15]Evalaucion Riesgo R2'!$F$11&gt;50,'[15]Evalaucion Riesgo R2'!$F$11&lt;76,D18=3,E18=10),$F$26,IF(AND(H18&gt;0,'[15]Evalaucion Riesgo R2'!$F$11&gt;50,'[15]Evalaucion Riesgo R2'!$F$11&lt;76,D18=3,E18=20),$G$26," ")))</f>
        <v xml:space="preserve"> </v>
      </c>
      <c r="AI18" s="29" t="str">
        <f>IF(AND(H18&gt;0,'[15]Evalaucion Riesgo R2'!$F$11&gt;50,'[15]Evalaucion Riesgo R2'!$F$11&lt;76,D18=4,E18=5),$E$27,IF(AND(H18&gt;0,'[15]Evalaucion Riesgo R2'!$F$11&gt;50,'[15]Evalaucion Riesgo R2'!$F$11&lt;76,D18=4,E18=10),$F$27,IF(AND(H18&gt;0,'[15]Evalaucion Riesgo R2'!$F$11&gt;50,'[15]Evalaucion Riesgo R2'!$F$11&lt;76,D18=4,E18=20),$G$27," ")))</f>
        <v xml:space="preserve"> </v>
      </c>
      <c r="AJ18" s="29" t="str">
        <f>IF(AND(H18&gt;0,'[15]Evalaucion Riesgo R2'!$F$11&gt;50,'[15]Evalaucion Riesgo R2'!$F$11&lt;76,D18=5,E18=5),$E$28,IF(AND(H18&gt;0,'[15]Evalaucion Riesgo R2'!$F$11&gt;50,'[15]Evalaucion Riesgo R2'!$F$11&lt;76,D18=5,E18=10),$F$28,IF(AND(H18&gt;0,'[15]Evalaucion Riesgo R2'!$F$11&gt;50,'[15]Evalaucion Riesgo R2'!$F$11&lt;76,D18=5,E18=20),$G$28," ")))</f>
        <v xml:space="preserve"> </v>
      </c>
      <c r="AM18" s="29" t="str">
        <f>IF(AND(H18&gt;0,'[15]Evalaucion Riesgo R2'!$F$11&lt;51,D18=1,E18=5),$E$25,IF(AND(H18&gt;0,'[15]Evalaucion Riesgo R2'!$F$11&lt;51,D18=1,E18=10),$F$25,IF(AND(H18&gt;0,'[15]Evalaucion Riesgo R2'!$F$11&lt;51,D18=1,E18=20),G$25," ")))</f>
        <v xml:space="preserve"> </v>
      </c>
      <c r="AN18" s="29" t="str">
        <f>IF(AND(H18&gt;0,'[15]Evalaucion Riesgo R2'!$F$11&lt;51,D18=2,E18=5),$E$26,IF(AND(H18&gt;0,'[15]Evalaucion Riesgo R2'!$F$11&lt;51,D18=2,E18=10),$F$26,IF(AND(H18&gt;0,'[15]Evalaucion Riesgo R2'!$F$11&lt;51,D18=2,E18=20),G$26," ")))</f>
        <v xml:space="preserve"> </v>
      </c>
      <c r="AO18" s="29" t="str">
        <f>IF(AND(H18&gt;0,'[15]Evalaucion Riesgo R2'!$F$11&lt;51,D18=3,E18=5),$E$27,IF(AND(H18&gt;0,'[15]Evalaucion Riesgo R2'!$F$11&lt;51,D18=3,E18=10),$F$27,IF(AND(H18&gt;0,'[15]Evalaucion Riesgo R2'!$F$11&lt;51,D18=3,E18=20),G$27," ")))</f>
        <v xml:space="preserve"> </v>
      </c>
      <c r="AP18" s="29" t="str">
        <f>IF(AND(H18&gt;0,'[15]Evalaucion Riesgo R2'!$F$11&lt;51,D18=4,E18=5),$E$28,IF(AND(H18&gt;0,'[15]Evalaucion Riesgo R2'!$F$11&lt;51,D18=4,E18=10),$F$28,IF(AND(H18&gt;0,'[15]Evalaucion Riesgo R2'!$F$11&lt;51,D18=4,E18=20),G$28," ")))</f>
        <v xml:space="preserve"> </v>
      </c>
      <c r="AQ18" s="29" t="str">
        <f>IF(AND(H18&gt;0,'[15]Evalaucion Riesgo R2'!$F$11&lt;51,D18=5,E18=5),$E$29,IF(AND(H18&gt;0,'[15]Evalaucion Riesgo R2'!$F$11&lt;51,D18=5,E18=10),$F$29,IF(AND(H18&gt;0,'[15]Evalaucion Riesgo R2'!$F$11&lt;51,D18=5,E18=20),G$29," ")))</f>
        <v xml:space="preserve"> </v>
      </c>
      <c r="AU18" s="29" t="str">
        <f>IF(AND(I18&gt;0,'[15]Evalaucion Riesgo R2'!$F$11&gt;75,D18=1,E18=5),$E$25,IF(AND(I18&gt;0,'[15]Evalaucion Riesgo R2'!$F$11&gt;75,D18=1,E18=10),$E$25,IF(AND(I18&gt;0,'[15]Evalaucion Riesgo R2'!$F$11&gt;75,D18=1,E18=20),$E$25," ")))</f>
        <v xml:space="preserve"> </v>
      </c>
      <c r="AV18" s="29" t="str">
        <f>IF(AND(I18&gt;0,'[15]Evalaucion Riesgo R2'!$F$11&gt;75,D18=2,E18=5),$E$26,IF(AND(I18&gt;0,'[15]Evalaucion Riesgo R2'!$F$11&gt;75,D18=2,E18=10),$E$26,IF(AND(I18&gt;0,'[15]Evalaucion Riesgo R2'!$F$11&gt;75,D18=2,E18=20),$E$26," ")))</f>
        <v xml:space="preserve"> </v>
      </c>
      <c r="AW18" s="29" t="str">
        <f>IF(AND(I18&gt;0,'[15]Evalaucion Riesgo R2'!$F$11&gt;75,D18=3,E18=5),$E$27,IF(AND(I18&gt;0,'[15]Evalaucion Riesgo R2'!$F$11&gt;75,D18=3,E18=10),$E$27,IF(AND(I18&gt;0,'[15]Evalaucion Riesgo R2'!$F$11&gt;75,D18=3,E18=20),$E$27," ")))</f>
        <v xml:space="preserve"> </v>
      </c>
      <c r="AX18" s="29" t="str">
        <f>IF(AND(I18&gt;0,'[15]Evalaucion Riesgo R2'!$F$11&gt;75,D18=4,E18=5),$E$28,IF(AND(I18&gt;0,'[15]Evalaucion Riesgo R2'!$F$11&gt;75,D18=4,E18=10),$E$28,IF(AND(I18&gt;0,'[15]Evalaucion Riesgo R2'!$F$11&gt;75,D18=4,E18=20),$E$28," ")))</f>
        <v xml:space="preserve"> </v>
      </c>
      <c r="AY18" s="29" t="str">
        <f>IF(AND(I18&gt;0,'[15]Evalaucion Riesgo R2'!$F$11&gt;75,D18=5,E18=5),$E$29,IF(AND(I18&gt;0,'[15]Evalaucion Riesgo R2'!$F$11&gt;75,D18=5,E18=10),$E$29,IF(AND(I18&gt;0,'[15]Evalaucion Riesgo R2'!$F$11&gt;75,D18=5,E18=20),$E$29," ")))</f>
        <v xml:space="preserve"> </v>
      </c>
      <c r="BB18" s="29" t="str">
        <f>IF(AND(I18&gt;0,'[15]Evalaucion Riesgo R2'!$F$11&gt;50,'[15]Evalaucion Riesgo R2'!$F$11&lt;76,D18=1,E18=5),$E$25,IF(AND(I18&gt;0,'[15]Evalaucion Riesgo R2'!$F$11&gt;50,'[15]Evalaucion Riesgo R2'!$F$11&lt;76,D18=1,E18=10),$E$25,IF(AND(I18&gt;0,'[15]Evalaucion Riesgo R2'!$F$11&gt;50,'[15]Evalaucion Riesgo R2'!$F$11&lt;76,D18=1,E18=20),$F$25," ")))</f>
        <v xml:space="preserve"> </v>
      </c>
      <c r="BC18" s="29" t="str">
        <f>IF(AND(I18&gt;0,'[15]Evalaucion Riesgo R2'!$F$11&gt;50,'[15]Evalaucion Riesgo R2'!$F$11&lt;76,D18=2,E18=5),$E$26,IF(AND(I18&gt;0,'[15]Evalaucion Riesgo R2'!$F$11&gt;50,'[15]Evalaucion Riesgo R2'!$F$11&lt;76,D18=2,E18=10),$E$26,IF(AND(I18&gt;0,'[15]Evalaucion Riesgo R2'!$F$11&gt;50,'[15]Evalaucion Riesgo R2'!$F$11&lt;76,D18=2,E18=20),$F$26," ")))</f>
        <v xml:space="preserve"> </v>
      </c>
      <c r="BD18" s="29" t="str">
        <f>IF(AND(I18&gt;0,'[15]Evalaucion Riesgo R2'!$F$11&gt;50,'[15]Evalaucion Riesgo R2'!$F$11&lt;76,D18=3,E18=5),$E$27,IF(AND(I18&gt;0,'[15]Evalaucion Riesgo R2'!$F$11&gt;50,'[15]Evalaucion Riesgo R2'!$F$11&lt;76,D18=3,E18=10),$E$27,IF(AND(I18&gt;0,'[15]Evalaucion Riesgo R2'!$F$11&gt;50,'[15]Evalaucion Riesgo R2'!$F$11&lt;76,D18=3,E18=20),$F$27," ")))</f>
        <v xml:space="preserve"> </v>
      </c>
      <c r="BE18" s="29" t="str">
        <f>IF(AND(I18&gt;0,'[15]Evalaucion Riesgo R2'!$F$11&gt;50,'[15]Evalaucion Riesgo R2'!$F$11&lt;76,D18=4,E18=5),$E$28,IF(AND(I18&gt;0,'[15]Evalaucion Riesgo R2'!$F$11&gt;50,'[15]Evalaucion Riesgo R2'!$F$11&lt;76,D18=4,E18=10),$E$28,IF(AND(I18&gt;0,'[15]Evalaucion Riesgo R2'!$F$11&gt;50,'[15]Evalaucion Riesgo R2'!$F$11&lt;76,D18=4,E18=20),$F$28," ")))</f>
        <v xml:space="preserve"> </v>
      </c>
      <c r="BF18" s="29" t="str">
        <f>IF(AND(I18&gt;0,'[15]Evalaucion Riesgo R2'!$F$11&gt;50,'[15]Evalaucion Riesgo R2'!$F$11&lt;76,D18=5,E18=5),$E$29,IF(AND(I18&gt;0,'[15]Evalaucion Riesgo R2'!$F$11&gt;50,'[15]Evalaucion Riesgo R2'!$F$11&lt;76,D18=5,E18=10),$E$29,IF(AND(I18&gt;0,'[15]Evalaucion Riesgo R2'!$F$11&gt;50,'[15]Evalaucion Riesgo R2'!$F$11&lt;76,D18=5,E18=20),$F$29," ")))</f>
        <v xml:space="preserve"> </v>
      </c>
      <c r="BI18" s="29" t="str">
        <f>IF(AND(I18&gt;0,'[15]Evalaucion Riesgo R2'!$F$11&lt;51,D18=1,E18=5),$E$25,IF(AND(I18&gt;0,'[15]Evalaucion Riesgo R2'!$F$11&lt;51,D18=1,E18=10),$F$25,IF(AND(I18&gt;0,'[15]Evalaucion Riesgo R2'!$F$11&lt;51,D18=1,E18=20),$G$25," ")))</f>
        <v xml:space="preserve"> </v>
      </c>
      <c r="BJ18" s="29" t="str">
        <f>IF(AND(I18&gt;0,'[15]Evalaucion Riesgo R2'!$F$11&lt;51,D18=2,E18=5),$E$26,IF(AND(I18&gt;0,'[15]Evalaucion Riesgo R2'!$F$11&lt;51,D18=2,E18=10),$F$26,IF(AND(I18&gt;0,'[15]Evalaucion Riesgo R2'!$F$11&lt;51,D18=2,E18=20),$G$26," ")))</f>
        <v xml:space="preserve"> </v>
      </c>
      <c r="BK18" s="29" t="str">
        <f>IF(AND(I18&gt;0,'[15]Evalaucion Riesgo R2'!$F$11&lt;51,D18=3,E18=5),$E$27,IF(AND(I18&gt;0,'[15]Evalaucion Riesgo R2'!$F$11&lt;51,D18=3,E18=10),$F$27,IF(AND(I18&gt;0,'[15]Evalaucion Riesgo R2'!$F$11&lt;51,D18=3,E18=20),$G$27," ")))</f>
        <v xml:space="preserve"> </v>
      </c>
      <c r="BL18" s="29" t="str">
        <f>IF(AND(I18&gt;0,'[15]Evalaucion Riesgo R2'!$F$11&lt;51,D18=4,E18=5),$E$28,IF(AND(I18&gt;0,'[15]Evalaucion Riesgo R2'!$F$11&lt;51,D18=4,E18=10),$F$28,IF(AND(I18&gt;0,'[15]Evalaucion Riesgo R2'!$F$11&lt;51,D18=4,E18=20),$G$28," ")))</f>
        <v>E</v>
      </c>
      <c r="BM18" s="29" t="str">
        <f>IF(AND(I18&gt;0,'[15]Evalaucion Riesgo R2'!$F$11&lt;51,D18=5,E18=5),$E$29,IF(AND(I18&gt;0,'[15]Evalaucion Riesgo R2'!$F$11&lt;51,D18=5,E18=10),$F$29,IF(AND(I18&gt;0,'[15]Evalaucion Riesgo R2'!$F$11&lt;51,D18=5,E18=20),$G$29," ")))</f>
        <v xml:space="preserve"> </v>
      </c>
    </row>
    <row r="19" spans="1:65" ht="153.75" customHeight="1" x14ac:dyDescent="0.3">
      <c r="A19" s="32">
        <f>[15]IdentRiesgo!A8</f>
        <v>0</v>
      </c>
      <c r="B19" s="22">
        <f>[15]IdentRiesgo!B8</f>
        <v>0</v>
      </c>
      <c r="C19" s="22">
        <f>[15]IdentRiesgo!D8</f>
        <v>0</v>
      </c>
      <c r="D19" s="23" t="str">
        <f>IF([15]AnálisisRiesgo!B11&gt;0,5,IF([15]AnálisisRiesgo!C11&gt;0,4,IF([15]AnálisisRiesgo!D11&gt;0,3,IF([15]AnálisisRiesgo!E11&gt;0,2,IF([15]AnálisisRiesgo!F11&gt;0,1,"")))))</f>
        <v/>
      </c>
      <c r="E19" s="23" t="str">
        <f>IF([15]AnálisisRiesgo!G11&gt;0,5,IF([15]AnálisisRiesgo!H11&gt;0,4,IF([15]AnálisisRiesgo!I11&gt;0,3,IF([15]AnálisisRiesgo!J11&gt;0,2,IF([15]AnálisisRiesgo!K11&gt;0,1,IF([15]AnálisisRiesgo!L11&gt;0,20,IF([15]AnálisisRiesgo!M11&gt;0,10,IF([15]AnálisisRiesgo!N11&gt;0,5,""))))))))</f>
        <v/>
      </c>
      <c r="F19" s="23" t="str">
        <f>CONCATENATE(S19,T19,U19,V19,W19)</f>
        <v xml:space="preserve">     </v>
      </c>
      <c r="G19" s="24"/>
      <c r="H19" s="49"/>
      <c r="I19" s="26"/>
      <c r="J19" s="23" t="str">
        <f t="shared" ref="J19" si="1">CONCATENATE(Z19,AA19,AB19,AC19,AD19,AF19,AG19,AH19,AI19,AJ19,AM19,AN19,AO19,AP19,AQ19,AU19,AV19,AW19,AX19,AY19,BB19,BC19,BD19,BE19,BF19,BI19,BJ19,BK19,BL19,BM19)</f>
        <v xml:space="preserve">                              </v>
      </c>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IF(AND(H19&gt;0,'[15]Evalaucion Riesgo R2'!$F$11&gt;75,D19=1,E19=5),$E$25,IF(AND(H19&gt;0,'[15]Evalaucion Riesgo R2'!$F$11&gt;75,D19=1,E19=10),$F$25,IF(AND(H19&gt;0,'[15]Evalaucion Riesgo R2'!$F$11&gt;75,D19=1,E19=20),$G$25," ")))</f>
        <v xml:space="preserve"> </v>
      </c>
      <c r="AA19" s="29" t="str">
        <f>IF(AND(H19&gt;0,'[15]Evalaucion Riesgo R2'!$F$11&gt;75,D19=2,E19=5),$E$25,IF(AND(H19&gt;0,'[15]Evalaucion Riesgo R2'!$F$11&gt;75,D19=2,E19=10),$F$25,IF(AND(H19&gt;0,'[15]Evalaucion Riesgo R2'!$F$11&gt;75,D19=2,E19=20),$G$25," ")))</f>
        <v xml:space="preserve"> </v>
      </c>
      <c r="AB19" s="29" t="str">
        <f>IF(AND(H19&gt;0,'[15]Evalaucion Riesgo R2'!$F$11&gt;75,D19=3,E19=5),$E$25,IF(AND(H19&gt;0,'[15]Evalaucion Riesgo R2'!$F$11&gt;75,D19=3,E19=10),$F$25,IF(AND(H19&gt;0,'[15]Evalaucion Riesgo R2'!$F$11&gt;75,D19=3,E19=20),$G$25," ")))</f>
        <v xml:space="preserve"> </v>
      </c>
      <c r="AC19" s="29" t="str">
        <f>IF(AND(H19&gt;0,'[15]Evalaucion Riesgo R2'!$F$11&gt;75,D19=4,E19=5),$E$26,IF(AND(H19&gt;0,'[15]Evalaucion Riesgo R2'!$F$11&gt;75,D19=4,E19=10),$F$26,IF(AND(H19&gt;0,'[15]Evalaucion Riesgo R2'!$F$11&gt;75,D19=4,E19=20),$G$26," ")))</f>
        <v xml:space="preserve"> </v>
      </c>
      <c r="AD19" s="29" t="str">
        <f>IF(AND(H19&gt;0,'[15]Evalaucion Riesgo R2'!$F$11&gt;75,D19=5,E19=5),$E$27,IF(AND(H19&gt;0,'[15]Evalaucion Riesgo R2'!$F$11&gt;75,D19=5,E19=10),$F$27,IF(AND(H19&gt;0,'[15]Evalaucion Riesgo R2'!$F$11&gt;75,D19=5,E19=20),$G$27," ")))</f>
        <v xml:space="preserve"> </v>
      </c>
      <c r="AF19" s="29" t="str">
        <f>IF(AND(H19&gt;0,'[15]Evalaucion Riesgo R2'!$F$11&gt;50,'[15]Evalaucion Riesgo R2'!$F$11&lt;76,D19=1,E19=5),$E$25,IF(AND(H19&gt;0,'[15]Evalaucion Riesgo R2'!$F$11&gt;50,'[15]Evalaucion Riesgo R2'!$F$11&lt;76,D19=1,E19=10),$F$25,IF(AND(H19&gt;0,'[15]Evalaucion Riesgo R2'!$F$11&gt;50,'[15]Evalaucion Riesgo R2'!$F$11&lt;76,D19=1,E19=20),$G$25," ")))</f>
        <v xml:space="preserve"> </v>
      </c>
      <c r="AG19" s="29" t="str">
        <f>IF(AND(H19&gt;0,'[15]Evalaucion Riesgo R2'!$F$11&gt;50,'[15]Evalaucion Riesgo R2'!$F$11&lt;76,D19=2,E19=5),$E$25,IF(AND(H19&gt;0,'[15]Evalaucion Riesgo R2'!$F$11&gt;50,'[15]Evalaucion Riesgo R2'!$F$11&lt;76,D19=2,E19=10),$F$25,IF(AND(H19&gt;0,'[15]Evalaucion Riesgo R2'!$F$11&gt;50,'[15]Evalaucion Riesgo R2'!$F$11&lt;76,D19=2,E19=20),$G$25," ")))</f>
        <v xml:space="preserve"> </v>
      </c>
      <c r="AH19" s="29" t="str">
        <f>IF(AND(H19&gt;0,'[15]Evalaucion Riesgo R2'!$F$11&gt;50,'[15]Evalaucion Riesgo R2'!$F$11&lt;76,D19=3,E19=5),$E$26,IF(AND(H19&gt;0,'[15]Evalaucion Riesgo R2'!$F$11&gt;50,'[15]Evalaucion Riesgo R2'!$F$11&lt;76,D19=3,E19=10),$F$26,IF(AND(H19&gt;0,'[15]Evalaucion Riesgo R2'!$F$11&gt;50,'[15]Evalaucion Riesgo R2'!$F$11&lt;76,D19=3,E19=20),$G$26," ")))</f>
        <v xml:space="preserve"> </v>
      </c>
      <c r="AI19" s="29" t="str">
        <f>IF(AND(H19&gt;0,'[15]Evalaucion Riesgo R2'!$F$11&gt;50,'[15]Evalaucion Riesgo R2'!$F$11&lt;76,D19=4,E19=5),$E$27,IF(AND(H19&gt;0,'[15]Evalaucion Riesgo R2'!$F$11&gt;50,'[15]Evalaucion Riesgo R2'!$F$11&lt;76,D19=4,E19=10),$F$27,IF(AND(H19&gt;0,'[15]Evalaucion Riesgo R2'!$F$11&gt;50,'[15]Evalaucion Riesgo R2'!$F$11&lt;76,D19=4,E19=20),$G$27," ")))</f>
        <v xml:space="preserve"> </v>
      </c>
      <c r="AJ19" s="29" t="str">
        <f>IF(AND(H19&gt;0,'[15]Evalaucion Riesgo R2'!$F$11&gt;50,'[15]Evalaucion Riesgo R2'!$F$11&lt;76,D19=5,E19=5),$E$28,IF(AND(H19&gt;0,'[15]Evalaucion Riesgo R2'!$F$11&gt;50,'[15]Evalaucion Riesgo R2'!$F$11&lt;76,D19=5,E19=10),$F$28,IF(AND(H19&gt;0,'[15]Evalaucion Riesgo R2'!$F$11&gt;50,'[15]Evalaucion Riesgo R2'!$F$11&lt;76,D19=5,E19=20),$G$28," ")))</f>
        <v xml:space="preserve"> </v>
      </c>
      <c r="AM19" s="29" t="str">
        <f>IF(AND(H19&gt;0,'[15]Evalaucion Riesgo R2'!$F$11&lt;51,D19=1,E19=5),$E$25,IF(AND(H19&gt;0,'[15]Evalaucion Riesgo R2'!$F$11&lt;51,D19=1,E19=10),$F$25,IF(AND(H19&gt;0,'[15]Evalaucion Riesgo R2'!$F$11&lt;51,D19=1,E19=20),G$25," ")))</f>
        <v xml:space="preserve"> </v>
      </c>
      <c r="AN19" s="29" t="str">
        <f>IF(AND(H19&gt;0,'[15]Evalaucion Riesgo R2'!$F$11&lt;51,D19=2,E19=5),$E$26,IF(AND(H19&gt;0,'[15]Evalaucion Riesgo R2'!$F$11&lt;51,D19=2,E19=10),$F$26,IF(AND(H19&gt;0,'[15]Evalaucion Riesgo R2'!$F$11&lt;51,D19=2,E19=20),G$26," ")))</f>
        <v xml:space="preserve"> </v>
      </c>
      <c r="AO19" s="29" t="str">
        <f>IF(AND(H19&gt;0,'[15]Evalaucion Riesgo R2'!$F$11&lt;51,D19=3,E19=5),$E$27,IF(AND(H19&gt;0,'[15]Evalaucion Riesgo R2'!$F$11&lt;51,D19=3,E19=10),$F$27,IF(AND(H19&gt;0,'[15]Evalaucion Riesgo R2'!$F$11&lt;51,D19=3,E19=20),G$27," ")))</f>
        <v xml:space="preserve"> </v>
      </c>
      <c r="AP19" s="29" t="str">
        <f>IF(AND(H19&gt;0,'[15]Evalaucion Riesgo R2'!$F$11&lt;51,D19=4,E19=5),$E$28,IF(AND(H19&gt;0,'[15]Evalaucion Riesgo R2'!$F$11&lt;51,D19=4,E19=10),$F$28,IF(AND(H19&gt;0,'[15]Evalaucion Riesgo R2'!$F$11&lt;51,D19=4,E19=20),G$28," ")))</f>
        <v xml:space="preserve"> </v>
      </c>
      <c r="AQ19" s="29" t="str">
        <f>IF(AND(H19&gt;0,'[15]Evalaucion Riesgo R2'!$F$11&lt;51,D19=5,E19=5),$E$29,IF(AND(H19&gt;0,'[15]Evalaucion Riesgo R2'!$F$11&lt;51,D19=5,E19=10),$F$29,IF(AND(H19&gt;0,'[15]Evalaucion Riesgo R2'!$F$11&lt;51,D19=5,E19=20),G$29," ")))</f>
        <v xml:space="preserve"> </v>
      </c>
      <c r="AU19" s="29" t="str">
        <f>IF(AND(I19&gt;0,'[15]Evalaucion Riesgo R2'!$F$11&gt;75,D19=1,E19=5),$E$25,IF(AND(I19&gt;0,'[15]Evalaucion Riesgo R2'!$F$11&gt;75,D19=1,E19=10),$E$25,IF(AND(I19&gt;0,'[15]Evalaucion Riesgo R2'!$F$11&gt;75,D19=1,E19=20),$E$25," ")))</f>
        <v xml:space="preserve"> </v>
      </c>
      <c r="AV19" s="29" t="str">
        <f>IF(AND(I19&gt;0,'[15]Evalaucion Riesgo R2'!$F$11&gt;75,D19=2,E19=5),$E$26,IF(AND(I19&gt;0,'[15]Evalaucion Riesgo R2'!$F$11&gt;75,D19=2,E19=10),$E$26,IF(AND(I19&gt;0,'[15]Evalaucion Riesgo R2'!$F$11&gt;75,D19=2,E19=20),$E$26," ")))</f>
        <v xml:space="preserve"> </v>
      </c>
      <c r="AW19" s="29" t="str">
        <f>IF(AND(I19&gt;0,'[15]Evalaucion Riesgo R2'!$F$11&gt;75,D19=3,E19=5),$E$27,IF(AND(I19&gt;0,'[15]Evalaucion Riesgo R2'!$F$11&gt;75,D19=3,E19=10),$E$27,IF(AND(I19&gt;0,'[15]Evalaucion Riesgo R2'!$F$11&gt;75,D19=3,E19=20),$E$27," ")))</f>
        <v xml:space="preserve"> </v>
      </c>
      <c r="AX19" s="29" t="str">
        <f>IF(AND(I19&gt;0,'[15]Evalaucion Riesgo R2'!$F$11&gt;75,D19=4,E19=5),$E$28,IF(AND(I19&gt;0,'[15]Evalaucion Riesgo R2'!$F$11&gt;75,D19=4,E19=10),$E$28,IF(AND(I19&gt;0,'[15]Evalaucion Riesgo R2'!$F$11&gt;75,D19=4,E19=20),$E$28," ")))</f>
        <v xml:space="preserve"> </v>
      </c>
      <c r="AY19" s="29" t="str">
        <f>IF(AND(I19&gt;0,'[15]Evalaucion Riesgo R2'!$F$11&gt;75,D19=5,E19=5),$E$29,IF(AND(I19&gt;0,'[15]Evalaucion Riesgo R2'!$F$11&gt;75,D19=5,E19=10),$E$29,IF(AND(I19&gt;0,'[15]Evalaucion Riesgo R2'!$F$11&gt;75,D19=5,E19=20),$E$29," ")))</f>
        <v xml:space="preserve"> </v>
      </c>
      <c r="BB19" s="29" t="str">
        <f>IF(AND(I19&gt;0,'[15]Evalaucion Riesgo R2'!$F$11&gt;50,'[15]Evalaucion Riesgo R2'!$F$11&lt;76,D19=1,E19=5),$E$25,IF(AND(I19&gt;0,'[15]Evalaucion Riesgo R2'!$F$11&gt;50,'[15]Evalaucion Riesgo R2'!$F$11&lt;76,D19=1,E19=10),$E$25,IF(AND(I19&gt;0,'[15]Evalaucion Riesgo R2'!$F$11&gt;50,'[15]Evalaucion Riesgo R2'!$F$11&lt;76,D19=1,E19=20),$F$25," ")))</f>
        <v xml:space="preserve"> </v>
      </c>
      <c r="BC19" s="29" t="str">
        <f>IF(AND(I19&gt;0,'[15]Evalaucion Riesgo R2'!$F$11&gt;50,'[15]Evalaucion Riesgo R2'!$F$11&lt;76,D19=2,E19=5),$E$26,IF(AND(I19&gt;0,'[15]Evalaucion Riesgo R2'!$F$11&gt;50,'[15]Evalaucion Riesgo R2'!$F$11&lt;76,D19=2,E19=10),$E$26,IF(AND(I19&gt;0,'[15]Evalaucion Riesgo R2'!$F$11&gt;50,'[15]Evalaucion Riesgo R2'!$F$11&lt;76,D19=2,E19=20),$F$26," ")))</f>
        <v xml:space="preserve"> </v>
      </c>
      <c r="BD19" s="29" t="str">
        <f>IF(AND(I19&gt;0,'[15]Evalaucion Riesgo R2'!$F$11&gt;50,'[15]Evalaucion Riesgo R2'!$F$11&lt;76,D19=3,E19=5),$E$27,IF(AND(I19&gt;0,'[15]Evalaucion Riesgo R2'!$F$11&gt;50,'[15]Evalaucion Riesgo R2'!$F$11&lt;76,D19=3,E19=10),$E$27,IF(AND(I19&gt;0,'[15]Evalaucion Riesgo R2'!$F$11&gt;50,'[15]Evalaucion Riesgo R2'!$F$11&lt;76,D19=3,E19=20),$F$27," ")))</f>
        <v xml:space="preserve"> </v>
      </c>
      <c r="BE19" s="29" t="str">
        <f>IF(AND(I19&gt;0,'[15]Evalaucion Riesgo R2'!$F$11&gt;50,'[15]Evalaucion Riesgo R2'!$F$11&lt;76,D19=4,E19=5),$E$28,IF(AND(I19&gt;0,'[15]Evalaucion Riesgo R2'!$F$11&gt;50,'[15]Evalaucion Riesgo R2'!$F$11&lt;76,D19=4,E19=10),$E$28,IF(AND(I19&gt;0,'[15]Evalaucion Riesgo R2'!$F$11&gt;50,'[15]Evalaucion Riesgo R2'!$F$11&lt;76,D19=4,E19=20),$F$28," ")))</f>
        <v xml:space="preserve"> </v>
      </c>
      <c r="BF19" s="29" t="str">
        <f>IF(AND(I19&gt;0,'[15]Evalaucion Riesgo R2'!$F$11&gt;50,'[15]Evalaucion Riesgo R2'!$F$11&lt;76,D19=5,E19=5),$E$29,IF(AND(I19&gt;0,'[15]Evalaucion Riesgo R2'!$F$11&gt;50,'[15]Evalaucion Riesgo R2'!$F$11&lt;76,D19=5,E19=10),$E$29,IF(AND(I19&gt;0,'[15]Evalaucion Riesgo R2'!$F$11&gt;50,'[15]Evalaucion Riesgo R2'!$F$11&lt;76,D19=5,E19=20),$F$29," ")))</f>
        <v xml:space="preserve"> </v>
      </c>
      <c r="BI19" s="29" t="str">
        <f>IF(AND(I19&gt;0,'[15]Evalaucion Riesgo R2'!$F$11&lt;51,D19=1,E19=5),$E$25,IF(AND(I19&gt;0,'[15]Evalaucion Riesgo R2'!$F$11&lt;51,D19=1,E19=10),$F$25,IF(AND(I19&gt;0,'[15]Evalaucion Riesgo R2'!$F$11&lt;51,D19=1,E19=20),$G$25," ")))</f>
        <v xml:space="preserve"> </v>
      </c>
      <c r="BJ19" s="29" t="str">
        <f>IF(AND(I19&gt;0,'[15]Evalaucion Riesgo R2'!$F$11&lt;51,D19=2,E19=5),$E$26,IF(AND(I19&gt;0,'[15]Evalaucion Riesgo R2'!$F$11&lt;51,D19=2,E19=10),$F$26,IF(AND(I19&gt;0,'[15]Evalaucion Riesgo R2'!$F$11&lt;51,D19=2,E19=20),$G$26," ")))</f>
        <v xml:space="preserve"> </v>
      </c>
      <c r="BK19" s="29" t="str">
        <f>IF(AND(I19&gt;0,'[15]Evalaucion Riesgo R2'!$F$11&lt;51,D19=3,E19=5),$E$27,IF(AND(I19&gt;0,'[15]Evalaucion Riesgo R2'!$F$11&lt;51,D19=3,E19=10),$F$27,IF(AND(I19&gt;0,'[15]Evalaucion Riesgo R2'!$F$11&lt;51,D19=3,E19=20),$G$27," ")))</f>
        <v xml:space="preserve"> </v>
      </c>
      <c r="BL19" s="29" t="str">
        <f>IF(AND(I19&gt;0,'[15]Evalaucion Riesgo R2'!$F$11&lt;51,D19=4,E19=5),$E$28,IF(AND(I19&gt;0,'[15]Evalaucion Riesgo R2'!$F$11&lt;51,D19=4,E19=10),$F$28,IF(AND(I19&gt;0,'[15]Evalaucion Riesgo R2'!$F$11&lt;51,D19=4,E19=20),$G$28," ")))</f>
        <v xml:space="preserve"> </v>
      </c>
      <c r="BM19" s="29" t="str">
        <f>IF(AND(I19&gt;0,'[15]Evalaucion Riesgo R2'!$F$11&lt;51,D19=5,E19=5),$E$29,IF(AND(I19&gt;0,'[15]Evalaucion Riesgo R2'!$F$11&lt;51,D19=5,E19=10),$F$29,IF(AND(I19&gt;0,'[15]Evalaucion Riesgo R2'!$F$11&lt;51,D19=5,E19=20),$G$29," ")))</f>
        <v xml:space="preserve"> </v>
      </c>
    </row>
    <row r="20" spans="1:65" ht="13.9" x14ac:dyDescent="0.3">
      <c r="A20" s="32"/>
      <c r="B20" s="22"/>
      <c r="C20" s="22"/>
    </row>
    <row r="21" spans="1:65" ht="13.9" x14ac:dyDescent="0.3">
      <c r="A21" s="29"/>
      <c r="B21" s="31"/>
      <c r="C21" s="31"/>
    </row>
    <row r="22" spans="1:65" ht="14.45" thickBot="1" x14ac:dyDescent="0.35">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3:D24"/>
    <mergeCell ref="E23:G23"/>
    <mergeCell ref="K15:M15"/>
  </mergeCells>
  <conditionalFormatting sqref="F17:F19 J17:J19">
    <cfRule type="containsText" dxfId="11" priority="1" operator="containsText" text="E">
      <formula>NOT(ISERROR(SEARCH("E",F17)))</formula>
    </cfRule>
    <cfRule type="containsText" dxfId="10" priority="2" operator="containsText" text="M">
      <formula>NOT(ISERROR(SEARCH("M",F17)))</formula>
    </cfRule>
    <cfRule type="containsText" dxfId="9" priority="3" operator="containsText" text="A">
      <formula>NOT(ISERROR(SEARCH("A",F17)))</formula>
    </cfRule>
    <cfRule type="containsText" dxfId="8"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view="pageBreakPreview" topLeftCell="B1" zoomScale="40" zoomScaleNormal="70" zoomScaleSheetLayoutView="4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21.7109375" style="2" customWidth="1"/>
    <col min="11" max="11" width="19.85546875" style="2" customWidth="1"/>
    <col min="12" max="12" width="28.42578125" style="2" customWidth="1"/>
    <col min="13" max="13" width="17"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[16]IdentRiesgo!B2</f>
        <v>Gestión de Control Disciplinario Interno</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[16]IdentRiesgo!B3</f>
        <v>Investigar y fallar sobre presuntas conductas de los servidores públicos del Instituto de conformidad con las disposiciones establecidas en el Código Disciplinario Único y normas concordantes</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100</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1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18" t="s">
        <v>28</v>
      </c>
      <c r="E16" s="18" t="s">
        <v>12</v>
      </c>
      <c r="F16" s="18" t="s">
        <v>29</v>
      </c>
      <c r="G16" s="107"/>
      <c r="H16" s="18" t="s">
        <v>28</v>
      </c>
      <c r="I16" s="18" t="s">
        <v>12</v>
      </c>
      <c r="J16" s="20" t="s">
        <v>29</v>
      </c>
      <c r="K16" s="18" t="s">
        <v>30</v>
      </c>
      <c r="L16" s="18" t="s">
        <v>26</v>
      </c>
      <c r="M16" s="18" t="s">
        <v>31</v>
      </c>
      <c r="N16" s="110"/>
      <c r="O16" s="110"/>
      <c r="P16" s="110"/>
      <c r="Q16" s="110"/>
    </row>
    <row r="17" spans="1:65" ht="171" x14ac:dyDescent="0.25">
      <c r="A17" s="75" t="s">
        <v>147</v>
      </c>
      <c r="B17" s="75" t="s">
        <v>148</v>
      </c>
      <c r="C17" s="75" t="s">
        <v>149</v>
      </c>
      <c r="D17" s="23">
        <f>IF([16]AnálisisRiesgo!B9&gt;0,5,IF([16]AnálisisRiesgo!C9&gt;0,4,IF([16]AnálisisRiesgo!D9&gt;0,3,IF([16]AnálisisRiesgo!E9&gt;0,2,IF([16]AnálisisRiesgo!F9&gt;0,1,"")))))</f>
        <v>1</v>
      </c>
      <c r="E17" s="23">
        <f>IF([16]AnálisisRiesgo!G9&gt;0,5,IF([16]AnálisisRiesgo!H9&gt;0,4,IF([16]AnálisisRiesgo!I9&gt;0,3,IF([16]AnálisisRiesgo!J9&gt;0,2,IF([16]AnálisisRiesgo!K9&gt;0,1,IF([16]AnálisisRiesgo!L9&gt;0,20,IF([16]AnálisisRiesgo!M9&gt;0,10,IF([16]AnálisisRiesgo!N9&gt;0,5,""))))))))</f>
        <v>10</v>
      </c>
      <c r="F17" s="23" t="str">
        <f>CONCATENATE(S17,T17,U17,V17,W17)</f>
        <v xml:space="preserve">B    </v>
      </c>
      <c r="G17" s="76" t="s">
        <v>150</v>
      </c>
      <c r="H17" s="49"/>
      <c r="I17" s="26" t="s">
        <v>32</v>
      </c>
      <c r="J17" s="23" t="str">
        <f>CONCATENATE(Z17,AA17,AB17,AC17,AD17,AF17,AG17,AH17,AI17,AJ17,AM17,AN17,AO17,AP17,AQ17,AU17,AV17,AW17,AX17,AY17,BB17,BC17,BD17,BE17,BF17,BI17,BJ17,BK17,BL17,BM17)</f>
        <v xml:space="preserve">               B              </v>
      </c>
      <c r="K17" s="23" t="s">
        <v>153</v>
      </c>
      <c r="L17" s="23" t="s">
        <v>152</v>
      </c>
      <c r="M17" s="23" t="s">
        <v>151</v>
      </c>
      <c r="N17" s="27"/>
      <c r="O17" s="27"/>
      <c r="P17" s="27"/>
      <c r="Q17" s="29"/>
      <c r="S17" s="29" t="str">
        <f>IF(AND(D17=1,E17=5),$E$25,IF(AND(D17=1,E17=10),$F$25,IF(AND(D17=1,E17=20),$G$25," ")))</f>
        <v>B</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IF(AND(H17&gt;0,[16]EvaluaciónRiesgoCorrupR1!$F$11&gt;75,D17=1,E17=5),$E$25,IF(AND(H17&gt;0,[16]EvaluaciónRiesgoCorrupR1!$F$11&gt;75,D17=1,E17=10),$F$25,IF(AND(H17&gt;0,[16]EvaluaciónRiesgoCorrupR1!$F$11&gt;75,D17=1,E17=20),$G$25," ")))</f>
        <v xml:space="preserve"> </v>
      </c>
      <c r="AA17" s="29" t="str">
        <f>IF(AND(H17&gt;0,[16]EvaluaciónRiesgoCorrupR1!$F$11&gt;75,D17=2,E17=5),$E$25,IF(AND(H17&gt;0,[16]EvaluaciónRiesgoCorrupR1!$F$11&gt;75,D17=2,E17=10),$F$25,IF(AND(H17&gt;0,[16]EvaluaciónRiesgoCorrupR1!$F$11&gt;75,D17=2,E17=20),$G$25," ")))</f>
        <v xml:space="preserve"> </v>
      </c>
      <c r="AB17" s="29" t="str">
        <f>IF(AND(H17&gt;0,[16]EvaluaciónRiesgoCorrupR1!$F$11&gt;75,D17=3,E17=5),$E$25,IF(AND(H17&gt;0,[16]EvaluaciónRiesgoCorrupR1!$F$11&gt;75,D17=3,E17=10),$F$25,IF(AND(H17&gt;0,[16]EvaluaciónRiesgoCorrupR1!$F$11&gt;75,D17=3,E17=20),$G$25," ")))</f>
        <v xml:space="preserve"> </v>
      </c>
      <c r="AC17" s="29" t="str">
        <f>IF(AND(H17&gt;0,[16]EvaluaciónRiesgoCorrupR1!$F$11&gt;75,D17=4,E17=5),$E$26,IF(AND(H17&gt;0,[16]EvaluaciónRiesgoCorrupR1!$F$11&gt;75,D17=4,E17=10),$F$26,IF(AND(H17&gt;0,[16]EvaluaciónRiesgoCorrupR1!$F$11&gt;75,D17=4,E17=20),$G$26," ")))</f>
        <v xml:space="preserve"> </v>
      </c>
      <c r="AD17" s="29" t="str">
        <f>IF(AND(H17&gt;0,[16]EvaluaciónRiesgoCorrupR1!$F$11&gt;75,D17=5,E17=5),$E$27,IF(AND(H17&gt;0,[16]EvaluaciónRiesgoCorrupR1!$F$11&gt;75,D17=5,E17=10),$F$27,IF(AND(H17&gt;0,[16]EvaluaciónRiesgoCorrupR1!$F$11&gt;75,D17=5,E17=20),$G$27," ")))</f>
        <v xml:space="preserve"> </v>
      </c>
      <c r="AE17" s="30" t="s">
        <v>36</v>
      </c>
      <c r="AF17" s="29" t="str">
        <f>IF(AND(H17&gt;0,[16]EvaluaciónRiesgoCorrupR1!$F$11&gt;50,[16]EvaluaciónRiesgoCorrupR1!$F$11&lt;76,D17=1,E17=5),$E$25,IF(AND(H17&gt;0,[16]EvaluaciónRiesgoCorrupR1!$F$11&gt;50,[16]EvaluaciónRiesgoCorrupR1!$F$11&lt;76,D17=1,E17=10),$F$25,IF(AND(H17&gt;0,[16]EvaluaciónRiesgoCorrupR1!$F$11&gt;50,[16]EvaluaciónRiesgoCorrupR1!$F$11&lt;76,D17=1,E17=20),$G$25," ")))</f>
        <v xml:space="preserve"> </v>
      </c>
      <c r="AG17" s="29" t="str">
        <f>IF(AND(H17&gt;0,[16]EvaluaciónRiesgoCorrupR1!$F$11&gt;50,[16]EvaluaciónRiesgoCorrupR1!$F$11&lt;76,D17=2,E17=5),$E$25,IF(AND(H17&gt;0,[16]EvaluaciónRiesgoCorrupR1!$F$11&gt;50,[16]EvaluaciónRiesgoCorrupR1!$F$11&lt;76,D17=2,E17=10),$F$25,IF(AND(H17&gt;0,[16]EvaluaciónRiesgoCorrupR1!$F$11&gt;50,[16]EvaluaciónRiesgoCorrupR1!$F$11&lt;76,D17=2,E17=20),$G$25," ")))</f>
        <v xml:space="preserve"> </v>
      </c>
      <c r="AH17" s="29" t="str">
        <f>IF(AND(H17&gt;0,[16]EvaluaciónRiesgoCorrupR1!$F$11&gt;50,[16]EvaluaciónRiesgoCorrupR1!$F$11&lt;76,D17=3,E17=5),$E$26,IF(AND(H17&gt;0,[16]EvaluaciónRiesgoCorrupR1!$F$11&gt;50,[16]EvaluaciónRiesgoCorrupR1!$F$11&lt;76,D17=3,E17=10),$F$26,IF(AND(H17&gt;0,[16]EvaluaciónRiesgoCorrupR1!$F$11&gt;50,[16]EvaluaciónRiesgoCorrupR1!$F$11&lt;76,D17=3,E17=20),$G$26," ")))</f>
        <v xml:space="preserve"> </v>
      </c>
      <c r="AI17" s="29" t="str">
        <f>IF(AND(H17&gt;0,[16]EvaluaciónRiesgoCorrupR1!$F$11&gt;50,[16]EvaluaciónRiesgoCorrupR1!$F$11&lt;76,D17=4,E17=5),$E$27,IF(AND(H17&gt;0,[16]EvaluaciónRiesgoCorrupR1!$F$11&gt;50,[16]EvaluaciónRiesgoCorrupR1!$F$11&lt;76,D17=4,E17=10),$F$27,IF(AND(H17&gt;0,[16]EvaluaciónRiesgoCorrupR1!$F$11&gt;50,[16]EvaluaciónRiesgoCorrupR1!$F$11&lt;76,D17=4,E17=20),$G$27," ")))</f>
        <v xml:space="preserve"> </v>
      </c>
      <c r="AJ17" s="29" t="str">
        <f>IF(AND(H17&gt;0,[16]EvaluaciónRiesgoCorrupR1!$F$11&gt;50,[16]EvaluaciónRiesgoCorrupR1!$F$11&lt;76,D17=5,E17=5),$E$28,IF(AND(H17&gt;0,[16]EvaluaciónRiesgoCorrupR1!$F$11&gt;50,[16]EvaluaciónRiesgoCorrupR1!$F$11&lt;76,D17=5,E17=10),$F$28,IF(AND(H17&gt;0,[16]EvaluaciónRiesgoCorrupR1!$F$11&gt;50,[16]EvaluaciónRiesgoCorrupR1!$F$11&lt;76,D17=5,E17=20),$G$28," ")))</f>
        <v xml:space="preserve"> </v>
      </c>
      <c r="AL17" s="30" t="s">
        <v>37</v>
      </c>
      <c r="AM17" s="29" t="str">
        <f>IF(AND(H17&gt;0,[16]EvaluaciónRiesgoCorrupR1!$F$11&lt;51,D17=1,E17=5),$E$25,IF(AND(H17&gt;0,[16]EvaluaciónRiesgoCorrupR1!$F$11&lt;51,D17=1,E17=10),$F$25,IF(AND(H17&gt;0,[16]EvaluaciónRiesgoCorrupR1!$F$11&lt;51,D17=1,E17=20),G$25," ")))</f>
        <v xml:space="preserve"> </v>
      </c>
      <c r="AN17" s="29" t="str">
        <f>IF(AND(H17&gt;0,[16]EvaluaciónRiesgoCorrupR1!$F$11&lt;51,D17=2,E17=5),$E$26,IF(AND(H17&gt;0,[16]EvaluaciónRiesgoCorrupR1!$F$11&lt;51,D17=2,E17=10),$F$26,IF(AND(H17&gt;0,[16]EvaluaciónRiesgoCorrupR1!$F$11&lt;51,D17=2,E17=20),G$26," ")))</f>
        <v xml:space="preserve"> </v>
      </c>
      <c r="AO17" s="29" t="str">
        <f>IF(AND(H17&gt;0,[16]EvaluaciónRiesgoCorrupR1!$F$11&lt;51,D17=3,E17=5),$E$27,IF(AND(H17&gt;0,[16]EvaluaciónRiesgoCorrupR1!$F$11&lt;51,D17=3,E17=10),$F$27,IF(AND(H17&gt;0,[16]EvaluaciónRiesgoCorrupR1!$F$11&lt;51,D17=3,E17=20),G$27," ")))</f>
        <v xml:space="preserve"> </v>
      </c>
      <c r="AP17" s="29" t="str">
        <f>IF(AND(H17&gt;0,[16]EvaluaciónRiesgoCorrupR1!$F$11&lt;51,D17=4,E17=5),$E$28,IF(AND(H17&gt;0,[16]EvaluaciónRiesgoCorrupR1!$F$11&lt;51,D17=4,E17=10),$F$28,IF(AND(H17&gt;0,[16]EvaluaciónRiesgoCorrupR1!$F$11&lt;51,D17=4,E17=20),G$28," ")))</f>
        <v xml:space="preserve"> </v>
      </c>
      <c r="AQ17" s="29" t="str">
        <f>IF(AND(H17&gt;0,[16]EvaluaciónRiesgoCorrupR1!$F$11&lt;51,D17=5,E17=5),$E$29,IF(AND(H17&gt;0,[16]EvaluaciónRiesgoCorrupR1!$F$11&lt;51,D17=5,E17=10),$F$29,IF(AND(H17&gt;0,[16]EvaluaciónRiesgoCorrupR1!$F$11&lt;51,D17=5,E17=20),G$29," ")))</f>
        <v xml:space="preserve"> </v>
      </c>
      <c r="AT17" s="30" t="s">
        <v>35</v>
      </c>
      <c r="AU17" s="29" t="str">
        <f>IF(AND(I17&gt;0,[16]EvaluaciónRiesgoCorrupR1!$F$11&gt;75,D17=1,E17=5),$E$25,IF(AND(I17&gt;0,[16]EvaluaciónRiesgoCorrupR1!$F$11&gt;75,D17=1,E17=10),$E$25,IF(AND(I17&gt;0,[16]EvaluaciónRiesgoCorrupR1!$F$11&gt;75,D17=1,E17=20),$E$25," ")))</f>
        <v>B</v>
      </c>
      <c r="AV17" s="29" t="str">
        <f>IF(AND(I17&gt;0,[16]EvaluaciónRiesgoCorrupR1!$F$11&gt;75,D17=2,E17=5),$E$26,IF(AND(I17&gt;0,[16]EvaluaciónRiesgoCorrupR1!$F$11&gt;75,D17=2,E17=10),$E$26,IF(AND(I17&gt;0,[16]EvaluaciónRiesgoCorrupR1!$F$11&gt;75,D17=2,E17=20),$E$26," ")))</f>
        <v xml:space="preserve"> </v>
      </c>
      <c r="AW17" s="29" t="str">
        <f>IF(AND(I17&gt;0,[16]EvaluaciónRiesgoCorrupR1!$F$11&gt;75,D17=3,E17=5),$E$27,IF(AND(I17&gt;0,[16]EvaluaciónRiesgoCorrupR1!$F$11&gt;75,D17=3,E17=10),$E$27,IF(AND(I17&gt;0,[16]EvaluaciónRiesgoCorrupR1!$F$11&gt;75,D17=3,E17=20),$E$27," ")))</f>
        <v xml:space="preserve"> </v>
      </c>
      <c r="AX17" s="29" t="str">
        <f>IF(AND(I17&gt;0,[16]EvaluaciónRiesgoCorrupR1!$F$11&gt;75,D17=4,E17=5),$E$28,IF(AND(I17&gt;0,[16]EvaluaciónRiesgoCorrupR1!$F$11&gt;75,D17=4,E17=10),$E$28,IF(AND(I17&gt;0,[16]EvaluaciónRiesgoCorrupR1!$F$11&gt;75,D17=4,E17=20),$E$28," ")))</f>
        <v xml:space="preserve"> </v>
      </c>
      <c r="AY17" s="29" t="str">
        <f>IF(AND(I17&gt;0,[16]EvaluaciónRiesgoCorrupR1!$F$11&gt;75,D17=5,E17=5),$E$29,IF(AND(I17&gt;0,[16]EvaluaciónRiesgoCorrupR1!$F$11&gt;75,D17=5,E17=10),$E$29,IF(AND(I17&gt;0,[16]EvaluaciónRiesgoCorrupR1!$F$11&gt;75,D17=5,E17=20),$E$29," ")))</f>
        <v xml:space="preserve"> </v>
      </c>
      <c r="BA17" s="30" t="s">
        <v>36</v>
      </c>
      <c r="BB17" s="29" t="str">
        <f>IF(AND(I17&gt;0,[16]EvaluaciónRiesgoCorrupR1!$F$11&gt;50,[16]EvaluaciónRiesgoCorrupR1!$F$11&lt;76,D17=1,E17=5),$E$25,IF(AND(I17&gt;0,[16]EvaluaciónRiesgoCorrupR1!$F$11&gt;50,[16]EvaluaciónRiesgoCorrupR1!$F$11&lt;76,D17=1,E17=10),$E$25,IF(AND(I17&gt;0,[16]EvaluaciónRiesgoCorrupR1!$F$11&gt;50,[16]EvaluaciónRiesgoCorrupR1!$F$11&lt;76,D17=1,E17=20),$F$25," ")))</f>
        <v xml:space="preserve"> </v>
      </c>
      <c r="BC17" s="29" t="str">
        <f>IF(AND(I17&gt;0,[16]EvaluaciónRiesgoCorrupR1!$F$11&gt;50,[16]EvaluaciónRiesgoCorrupR1!$F$11&lt;76,D17=2,E17=5),$E$26,IF(AND(I17&gt;0,[16]EvaluaciónRiesgoCorrupR1!$F$11&gt;50,[16]EvaluaciónRiesgoCorrupR1!$F$11&lt;76,D17=2,E17=10),$E$26,IF(AND(I17&gt;0,[16]EvaluaciónRiesgoCorrupR1!$F$11&gt;50,[16]EvaluaciónRiesgoCorrupR1!$F$11&lt;76,D17=2,E17=20),$F$26," ")))</f>
        <v xml:space="preserve"> </v>
      </c>
      <c r="BD17" s="29" t="str">
        <f>IF(AND(I17&gt;0,[16]EvaluaciónRiesgoCorrupR1!$F$11&gt;50,[16]EvaluaciónRiesgoCorrupR1!$F$11&lt;76,D17=3,E17=5),$E$27,IF(AND(I17&gt;0,[16]EvaluaciónRiesgoCorrupR1!$F$11&gt;50,[16]EvaluaciónRiesgoCorrupR1!$F$11&lt;76,D17=3,E17=10),$E$27,IF(AND(I17&gt;0,[16]EvaluaciónRiesgoCorrupR1!$F$11&gt;50,[16]EvaluaciónRiesgoCorrupR1!$F$11&lt;76,D17=3,E17=20),$F$27," ")))</f>
        <v xml:space="preserve"> </v>
      </c>
      <c r="BE17" s="29" t="str">
        <f>IF(AND(I17&gt;0,[16]EvaluaciónRiesgoCorrupR1!$F$11&gt;50,[16]EvaluaciónRiesgoCorrupR1!$F$11&lt;76,D17=4,E17=5),$E$28,IF(AND(I17&gt;0,[16]EvaluaciónRiesgoCorrupR1!$F$11&gt;50,[16]EvaluaciónRiesgoCorrupR1!$F$11&lt;76,D17=4,E17=10),$E$28,IF(AND(I17&gt;0,[16]EvaluaciónRiesgoCorrupR1!$F$11&gt;50,[16]EvaluaciónRiesgoCorrupR1!$F$11&lt;76,D17=4,E17=20),$F$28," ")))</f>
        <v xml:space="preserve"> </v>
      </c>
      <c r="BF17" s="29" t="str">
        <f>IF(AND(I17&gt;0,[16]EvaluaciónRiesgoCorrupR1!$F$11&gt;50,[16]EvaluaciónRiesgoCorrupR1!$F$11&lt;76,D17=5,E17=5),$E$29,IF(AND(I17&gt;0,[16]EvaluaciónRiesgoCorrupR1!$F$11&gt;50,[16]EvaluaciónRiesgoCorrupR1!$F$11&lt;76,D17=5,E17=10),$E$29,IF(AND(I17&gt;0,[16]EvaluaciónRiesgoCorrupR1!$F$11&gt;50,[16]EvaluaciónRiesgoCorrupR1!$F$11&lt;76,D17=5,E17=20),$F$29," ")))</f>
        <v xml:space="preserve"> </v>
      </c>
      <c r="BH17" s="30" t="s">
        <v>37</v>
      </c>
      <c r="BI17" s="29" t="str">
        <f>IF(AND(I17&gt;0,[16]EvaluaciónRiesgoCorrupR1!$F$11&lt;51,D17=1,E17=5),$E$25,IF(AND(I17&gt;0,[16]EvaluaciónRiesgoCorrupR1!$F$11&lt;51,D17=1,E17=10),$F$25,IF(AND(I17&gt;0,[16]EvaluaciónRiesgoCorrupR1!$F$11&lt;51,D17=1,E17=20),$G$25," ")))</f>
        <v xml:space="preserve"> </v>
      </c>
      <c r="BJ17" s="29" t="str">
        <f>IF(AND(I17&gt;0,[16]EvaluaciónRiesgoCorrupR1!$F$11&lt;51,D17=2,E17=5),$E$26,IF(AND(I17&gt;0,[16]EvaluaciónRiesgoCorrupR1!$F$11&lt;51,D17=2,E17=10),$F$26,IF(AND(I17&gt;0,[16]EvaluaciónRiesgoCorrupR1!$F$11&lt;51,D17=2,E17=20),$G$26," ")))</f>
        <v xml:space="preserve"> </v>
      </c>
      <c r="BK17" s="29" t="str">
        <f>IF(AND(I17&gt;0,[16]EvaluaciónRiesgoCorrupR1!$F$11&lt;51,D17=3,E17=5),$E$27,IF(AND(I17&gt;0,[16]EvaluaciónRiesgoCorrupR1!$F$11&lt;51,D17=3,E17=10),$F$27,IF(AND(I17&gt;0,[16]EvaluaciónRiesgoCorrupR1!$F$11&lt;51,D17=3,E17=20),$G$27," ")))</f>
        <v xml:space="preserve"> </v>
      </c>
      <c r="BL17" s="29" t="str">
        <f>IF(AND(I17&gt;0,[16]EvaluaciónRiesgoCorrupR1!$F$11&lt;51,D17=4,E17=5),$E$28,IF(AND(I17&gt;0,[16]EvaluaciónRiesgoCorrupR1!$F$11&lt;51,D17=4,E17=10),$F$28,IF(AND(I17&gt;0,[16]EvaluaciónRiesgoCorrupR1!$F$11&lt;51,D17=4,E17=20),$G$28," ")))</f>
        <v xml:space="preserve"> </v>
      </c>
      <c r="BM17" s="29" t="str">
        <f>IF(AND(I17&gt;0,[16]EvaluaciónRiesgoCorrupR1!$F$11&lt;51,D17=5,E17=5),$E$29,IF(AND(I17&gt;0,[16]EvaluaciónRiesgoCorrupR1!$F$11&lt;51,D17=5,E17=10),$F$29,IF(AND(I17&gt;0,[16]EvaluaciónRiesgoCorrupR1!$F$11&lt;51,D17=5,E17=20),$G$29," ")))</f>
        <v xml:space="preserve"> </v>
      </c>
    </row>
    <row r="18" spans="1:65" ht="134.25" customHeight="1" x14ac:dyDescent="0.25">
      <c r="A18" s="75" t="str">
        <f>IF(ISTEXT([17]IdentificaciónRiesgos!$B7),[17]IdentificaciónRiesgos!$A7,"")</f>
        <v xml:space="preserve">Falta de ética y profesionalismo del funcionario instructor. </v>
      </c>
      <c r="B18" s="75" t="str">
        <f>IF(ISTEXT([17]IdentificaciónRiesgos!$B7),[17]IdentificaciónRiesgos!$B7,"")</f>
        <v xml:space="preserve">Proyectar fallo contrario a las evidencias  que constituyen el acervo probatorio recaudado para favorecer al indagado o al investigado. </v>
      </c>
      <c r="C18" s="75" t="str">
        <f>IF(ISTEXT([17]IdentificaciónRiesgos!$B7),[17]IdentificaciónRiesgos!$D7,"")</f>
        <v xml:space="preserve"> Causal de Nulidad (Artículo 143 No. 3 del CDU). Pérdida de credibilidad del grupo y actuación disciplinaria por parte de la PGN. </v>
      </c>
      <c r="D18" s="23">
        <f>IF([16]AnálisisRiesgo!B10&gt;0,5,IF([16]AnálisisRiesgo!C10&gt;0,4,IF([16]AnálisisRiesgo!D10&gt;0,3,IF([16]AnálisisRiesgo!E10&gt;0,2,IF([16]AnálisisRiesgo!F10&gt;0,1,"")))))</f>
        <v>1</v>
      </c>
      <c r="E18" s="23">
        <f>IF([16]AnálisisRiesgo!G10&gt;0,5,IF([16]AnálisisRiesgo!H10&gt;0,4,IF([16]AnálisisRiesgo!I10&gt;0,3,IF([16]AnálisisRiesgo!J10&gt;0,2,IF([16]AnálisisRiesgo!K10&gt;0,1,IF([16]AnálisisRiesgo!L10&gt;0,20,IF([16]AnálisisRiesgo!M10&gt;0,10,IF([16]AnálisisRiesgo!N10&gt;0,5,""))))))))</f>
        <v>10</v>
      </c>
      <c r="F18" s="23" t="str">
        <f t="shared" ref="F18:F19" si="0">CONCATENATE(S18,T18,U18,V18,W18)</f>
        <v xml:space="preserve">B    </v>
      </c>
      <c r="G18" s="77" t="s">
        <v>101</v>
      </c>
      <c r="H18" s="49"/>
      <c r="I18" s="26" t="s">
        <v>32</v>
      </c>
      <c r="J18" s="23" t="str">
        <f t="shared" ref="J18:J19" si="1">CONCATENATE(Z18,AA18,AB18,AC18,AD18,AF18,AG18,AH18,AI18,AJ18,AM18,AN18,AO18,AP18,AQ18,AU18,AV18,AW18,AX18,AY18,BB18,BC18,BD18,BE18,BF18,BI18,BJ18,BK18,BL18,BM18)</f>
        <v xml:space="preserve">               B              </v>
      </c>
      <c r="K18" s="23" t="s">
        <v>154</v>
      </c>
      <c r="L18" s="23" t="s">
        <v>102</v>
      </c>
      <c r="M18" s="23" t="s">
        <v>103</v>
      </c>
      <c r="N18" s="27"/>
      <c r="O18" s="27"/>
      <c r="P18" s="27"/>
      <c r="Q18" s="29"/>
      <c r="S18" s="29" t="str">
        <f>IF(AND(D18=1,E18=5),$E$25,IF(AND(D18=1,E18=10),$F$25,IF(AND(D18=1,E18=20),$G$25," ")))</f>
        <v>B</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IF(AND(H18&gt;0,[16]EvaluaciónRiesgoCorrupR1!$F$11&gt;75,D18=1,E18=5),$E$25,IF(AND(H18&gt;0,[16]EvaluaciónRiesgoCorrupR1!$F$11&gt;75,D18=1,E18=10),$F$25,IF(AND(H18&gt;0,[16]EvaluaciónRiesgoCorrupR1!$F$11&gt;75,D18=1,E18=20),$G$25," ")))</f>
        <v xml:space="preserve"> </v>
      </c>
      <c r="AA18" s="29" t="str">
        <f>IF(AND(H18&gt;0,[16]EvaluaciónRiesgoCorrupR1!$F$11&gt;75,D18=2,E18=5),$E$25,IF(AND(H18&gt;0,[16]EvaluaciónRiesgoCorrupR1!$F$11&gt;75,D18=2,E18=10),$F$25,IF(AND(H18&gt;0,[16]EvaluaciónRiesgoCorrupR1!$F$11&gt;75,D18=2,E18=20),$G$25," ")))</f>
        <v xml:space="preserve"> </v>
      </c>
      <c r="AB18" s="29" t="str">
        <f>IF(AND(H18&gt;0,[16]EvaluaciónRiesgoCorrupR1!$F$11&gt;75,D18=3,E18=5),$E$25,IF(AND(H18&gt;0,[16]EvaluaciónRiesgoCorrupR1!$F$11&gt;75,D18=3,E18=10),$F$25,IF(AND(H18&gt;0,[16]EvaluaciónRiesgoCorrupR1!$F$11&gt;75,D18=3,E18=20),$G$25," ")))</f>
        <v xml:space="preserve"> </v>
      </c>
      <c r="AC18" s="29" t="str">
        <f>IF(AND(H18&gt;0,[16]EvaluaciónRiesgoCorrupR1!$F$11&gt;75,D18=4,E18=5),$E$26,IF(AND(H18&gt;0,[16]EvaluaciónRiesgoCorrupR1!$F$11&gt;75,D18=4,E18=10),$F$26,IF(AND(H18&gt;0,[16]EvaluaciónRiesgoCorrupR1!$F$11&gt;75,D18=4,E18=20),$G$26," ")))</f>
        <v xml:space="preserve"> </v>
      </c>
      <c r="AD18" s="29" t="str">
        <f>IF(AND(H18&gt;0,[16]EvaluaciónRiesgoCorrupR1!$F$11&gt;75,D18=5,E18=5),$E$27,IF(AND(H18&gt;0,[16]EvaluaciónRiesgoCorrupR1!$F$11&gt;75,D18=5,E18=10),$F$27,IF(AND(H18&gt;0,[16]EvaluaciónRiesgoCorrupR1!$F$11&gt;75,D18=5,E18=20),$G$27," ")))</f>
        <v xml:space="preserve"> </v>
      </c>
      <c r="AF18" s="29" t="str">
        <f>IF(AND(H18&gt;0,[16]EvaluaciónRiesgoCorrupR1!$F$11&gt;50,[16]EvaluaciónRiesgoCorrupR1!$F$11&lt;76,D18=1,E18=5),$E$25,IF(AND(H18&gt;0,[16]EvaluaciónRiesgoCorrupR1!$F$11&gt;50,[16]EvaluaciónRiesgoCorrupR1!$F$11&lt;76,D18=1,E18=10),$F$25,IF(AND(H18&gt;0,[16]EvaluaciónRiesgoCorrupR1!$F$11&gt;50,[16]EvaluaciónRiesgoCorrupR1!$F$11&lt;76,D18=1,E18=20),$G$25," ")))</f>
        <v xml:space="preserve"> </v>
      </c>
      <c r="AG18" s="29" t="str">
        <f>IF(AND(H18&gt;0,[16]EvaluaciónRiesgoCorrupR1!$F$11&gt;50,[16]EvaluaciónRiesgoCorrupR1!$F$11&lt;76,D18=2,E18=5),$E$25,IF(AND(H18&gt;0,[16]EvaluaciónRiesgoCorrupR1!$F$11&gt;50,[16]EvaluaciónRiesgoCorrupR1!$F$11&lt;76,D18=2,E18=10),$F$25,IF(AND(H18&gt;0,[16]EvaluaciónRiesgoCorrupR1!$F$11&gt;50,[16]EvaluaciónRiesgoCorrupR1!$F$11&lt;76,D18=2,E18=20),$G$25," ")))</f>
        <v xml:space="preserve"> </v>
      </c>
      <c r="AH18" s="29" t="str">
        <f>IF(AND(H18&gt;0,[16]EvaluaciónRiesgoCorrupR1!$F$11&gt;50,[16]EvaluaciónRiesgoCorrupR1!$F$11&lt;76,D18=3,E18=5),$E$26,IF(AND(H18&gt;0,[16]EvaluaciónRiesgoCorrupR1!$F$11&gt;50,[16]EvaluaciónRiesgoCorrupR1!$F$11&lt;76,D18=3,E18=10),$F$26,IF(AND(H18&gt;0,[16]EvaluaciónRiesgoCorrupR1!$F$11&gt;50,[16]EvaluaciónRiesgoCorrupR1!$F$11&lt;76,D18=3,E18=20),$G$26," ")))</f>
        <v xml:space="preserve"> </v>
      </c>
      <c r="AI18" s="29" t="str">
        <f>IF(AND(H18&gt;0,[16]EvaluaciónRiesgoCorrupR1!$F$11&gt;50,[16]EvaluaciónRiesgoCorrupR1!$F$11&lt;76,D18=4,E18=5),$E$27,IF(AND(H18&gt;0,[16]EvaluaciónRiesgoCorrupR1!$F$11&gt;50,[16]EvaluaciónRiesgoCorrupR1!$F$11&lt;76,D18=4,E18=10),$F$27,IF(AND(H18&gt;0,[16]EvaluaciónRiesgoCorrupR1!$F$11&gt;50,[16]EvaluaciónRiesgoCorrupR1!$F$11&lt;76,D18=4,E18=20),$G$27," ")))</f>
        <v xml:space="preserve"> </v>
      </c>
      <c r="AJ18" s="29" t="str">
        <f>IF(AND(H18&gt;0,[16]EvaluaciónRiesgoCorrupR1!$F$11&gt;50,[16]EvaluaciónRiesgoCorrupR1!$F$11&lt;76,D18=5,E18=5),$E$28,IF(AND(H18&gt;0,[16]EvaluaciónRiesgoCorrupR1!$F$11&gt;50,[16]EvaluaciónRiesgoCorrupR1!$F$11&lt;76,D18=5,E18=10),$F$28,IF(AND(H18&gt;0,[16]EvaluaciónRiesgoCorrupR1!$F$11&gt;50,[16]EvaluaciónRiesgoCorrupR1!$F$11&lt;76,D18=5,E18=20),$G$28," ")))</f>
        <v xml:space="preserve"> </v>
      </c>
      <c r="AM18" s="29" t="str">
        <f>IF(AND(H18&gt;0,[16]EvaluaciónRiesgoCorrupR1!$F$11&lt;51,D18=1,E18=5),$E$25,IF(AND(H18&gt;0,[16]EvaluaciónRiesgoCorrupR1!$F$11&lt;51,D18=1,E18=10),$F$25,IF(AND(H18&gt;0,[16]EvaluaciónRiesgoCorrupR1!$F$11&lt;51,D18=1,E18=20),G$25," ")))</f>
        <v xml:space="preserve"> </v>
      </c>
      <c r="AN18" s="29" t="str">
        <f>IF(AND(H18&gt;0,[16]EvaluaciónRiesgoCorrupR1!$F$11&lt;51,D18=2,E18=5),$E$26,IF(AND(H18&gt;0,[16]EvaluaciónRiesgoCorrupR1!$F$11&lt;51,D18=2,E18=10),$F$26,IF(AND(H18&gt;0,[16]EvaluaciónRiesgoCorrupR1!$F$11&lt;51,D18=2,E18=20),G$26," ")))</f>
        <v xml:space="preserve"> </v>
      </c>
      <c r="AO18" s="29" t="str">
        <f>IF(AND(H18&gt;0,[16]EvaluaciónRiesgoCorrupR1!$F$11&lt;51,D18=3,E18=5),$E$27,IF(AND(H18&gt;0,[16]EvaluaciónRiesgoCorrupR1!$F$11&lt;51,D18=3,E18=10),$F$27,IF(AND(H18&gt;0,[16]EvaluaciónRiesgoCorrupR1!$F$11&lt;51,D18=3,E18=20),G$27," ")))</f>
        <v xml:space="preserve"> </v>
      </c>
      <c r="AP18" s="29" t="str">
        <f>IF(AND(H18&gt;0,[16]EvaluaciónRiesgoCorrupR1!$F$11&lt;51,D18=4,E18=5),$E$28,IF(AND(H18&gt;0,[16]EvaluaciónRiesgoCorrupR1!$F$11&lt;51,D18=4,E18=10),$F$28,IF(AND(H18&gt;0,[16]EvaluaciónRiesgoCorrupR1!$F$11&lt;51,D18=4,E18=20),G$28," ")))</f>
        <v xml:space="preserve"> </v>
      </c>
      <c r="AQ18" s="29" t="str">
        <f>IF(AND(H18&gt;0,[16]EvaluaciónRiesgoCorrupR1!$F$11&lt;51,D18=5,E18=5),$E$29,IF(AND(H18&gt;0,[16]EvaluaciónRiesgoCorrupR1!$F$11&lt;51,D18=5,E18=10),$F$29,IF(AND(H18&gt;0,[16]EvaluaciónRiesgoCorrupR1!$F$11&lt;51,D18=5,E18=20),G$29," ")))</f>
        <v xml:space="preserve"> </v>
      </c>
      <c r="AU18" s="29" t="str">
        <f>IF(AND(I18&gt;0,[16]EvaluaciónRiesgoCorrupR1!$F$11&gt;75,D18=1,E18=5),$E$25,IF(AND(I18&gt;0,[16]EvaluaciónRiesgoCorrupR1!$F$11&gt;75,D18=1,E18=10),$E$25,IF(AND(I18&gt;0,[16]EvaluaciónRiesgoCorrupR1!$F$11&gt;75,D18=1,E18=20),$E$25," ")))</f>
        <v>B</v>
      </c>
      <c r="AV18" s="29" t="str">
        <f>IF(AND(I18&gt;0,[16]EvaluaciónRiesgoCorrupR1!$F$11&gt;75,D18=2,E18=5),$E$26,IF(AND(I18&gt;0,[16]EvaluaciónRiesgoCorrupR1!$F$11&gt;75,D18=2,E18=10),$E$26,IF(AND(I18&gt;0,[16]EvaluaciónRiesgoCorrupR1!$F$11&gt;75,D18=2,E18=20),$E$26," ")))</f>
        <v xml:space="preserve"> </v>
      </c>
      <c r="AW18" s="29" t="str">
        <f>IF(AND(I18&gt;0,[16]EvaluaciónRiesgoCorrupR1!$F$11&gt;75,D18=3,E18=5),$E$27,IF(AND(I18&gt;0,[16]EvaluaciónRiesgoCorrupR1!$F$11&gt;75,D18=3,E18=10),$E$27,IF(AND(I18&gt;0,[16]EvaluaciónRiesgoCorrupR1!$F$11&gt;75,D18=3,E18=20),$E$27," ")))</f>
        <v xml:space="preserve"> </v>
      </c>
      <c r="AX18" s="29" t="str">
        <f>IF(AND(I18&gt;0,[16]EvaluaciónRiesgoCorrupR1!$F$11&gt;75,D18=4,E18=5),$E$28,IF(AND(I18&gt;0,[16]EvaluaciónRiesgoCorrupR1!$F$11&gt;75,D18=4,E18=10),$E$28,IF(AND(I18&gt;0,[16]EvaluaciónRiesgoCorrupR1!$F$11&gt;75,D18=4,E18=20),$E$28," ")))</f>
        <v xml:space="preserve"> </v>
      </c>
      <c r="AY18" s="29" t="str">
        <f>IF(AND(I18&gt;0,[16]EvaluaciónRiesgoCorrupR1!$F$11&gt;75,D18=5,E18=5),$E$29,IF(AND(I18&gt;0,[16]EvaluaciónRiesgoCorrupR1!$F$11&gt;75,D18=5,E18=10),$E$29,IF(AND(I18&gt;0,[16]EvaluaciónRiesgoCorrupR1!$F$11&gt;75,D18=5,E18=20),$E$29," ")))</f>
        <v xml:space="preserve"> </v>
      </c>
      <c r="BB18" s="29" t="str">
        <f>IF(AND(I18&gt;0,[16]EvaluaciónRiesgoCorrupR1!$F$11&gt;50,[16]EvaluaciónRiesgoCorrupR1!$F$11&lt;76,D18=1,E18=5),$E$25,IF(AND(I18&gt;0,[16]EvaluaciónRiesgoCorrupR1!$F$11&gt;50,[16]EvaluaciónRiesgoCorrupR1!$F$11&lt;76,D18=1,E18=10),$E$25,IF(AND(I18&gt;0,[16]EvaluaciónRiesgoCorrupR1!$F$11&gt;50,[16]EvaluaciónRiesgoCorrupR1!$F$11&lt;76,D18=1,E18=20),$F$25," ")))</f>
        <v xml:space="preserve"> </v>
      </c>
      <c r="BC18" s="29" t="str">
        <f>IF(AND(I18&gt;0,[16]EvaluaciónRiesgoCorrupR1!$F$11&gt;50,[16]EvaluaciónRiesgoCorrupR1!$F$11&lt;76,D18=2,E18=5),$E$26,IF(AND(I18&gt;0,[16]EvaluaciónRiesgoCorrupR1!$F$11&gt;50,[16]EvaluaciónRiesgoCorrupR1!$F$11&lt;76,D18=2,E18=10),$E$26,IF(AND(I18&gt;0,[16]EvaluaciónRiesgoCorrupR1!$F$11&gt;50,[16]EvaluaciónRiesgoCorrupR1!$F$11&lt;76,D18=2,E18=20),$F$26," ")))</f>
        <v xml:space="preserve"> </v>
      </c>
      <c r="BD18" s="29" t="str">
        <f>IF(AND(I18&gt;0,[16]EvaluaciónRiesgoCorrupR1!$F$11&gt;50,[16]EvaluaciónRiesgoCorrupR1!$F$11&lt;76,D18=3,E18=5),$E$27,IF(AND(I18&gt;0,[16]EvaluaciónRiesgoCorrupR1!$F$11&gt;50,[16]EvaluaciónRiesgoCorrupR1!$F$11&lt;76,D18=3,E18=10),$E$27,IF(AND(I18&gt;0,[16]EvaluaciónRiesgoCorrupR1!$F$11&gt;50,[16]EvaluaciónRiesgoCorrupR1!$F$11&lt;76,D18=3,E18=20),$F$27," ")))</f>
        <v xml:space="preserve"> </v>
      </c>
      <c r="BE18" s="29" t="str">
        <f>IF(AND(I18&gt;0,[16]EvaluaciónRiesgoCorrupR1!$F$11&gt;50,[16]EvaluaciónRiesgoCorrupR1!$F$11&lt;76,D18=4,E18=5),$E$28,IF(AND(I18&gt;0,[16]EvaluaciónRiesgoCorrupR1!$F$11&gt;50,[16]EvaluaciónRiesgoCorrupR1!$F$11&lt;76,D18=4,E18=10),$E$28,IF(AND(I18&gt;0,[16]EvaluaciónRiesgoCorrupR1!$F$11&gt;50,[16]EvaluaciónRiesgoCorrupR1!$F$11&lt;76,D18=4,E18=20),$F$28," ")))</f>
        <v xml:space="preserve"> </v>
      </c>
      <c r="BF18" s="29" t="str">
        <f>IF(AND(I18&gt;0,[16]EvaluaciónRiesgoCorrupR1!$F$11&gt;50,[16]EvaluaciónRiesgoCorrupR1!$F$11&lt;76,D18=5,E18=5),$E$29,IF(AND(I18&gt;0,[16]EvaluaciónRiesgoCorrupR1!$F$11&gt;50,[16]EvaluaciónRiesgoCorrupR1!$F$11&lt;76,D18=5,E18=10),$E$29,IF(AND(I18&gt;0,[16]EvaluaciónRiesgoCorrupR1!$F$11&gt;50,[16]EvaluaciónRiesgoCorrupR1!$F$11&lt;76,D18=5,E18=20),$F$29," ")))</f>
        <v xml:space="preserve"> </v>
      </c>
      <c r="BI18" s="29" t="str">
        <f>IF(AND(I18&gt;0,[16]EvaluaciónRiesgoCorrupR1!$F$11&lt;51,D18=1,E18=5),$E$25,IF(AND(I18&gt;0,[16]EvaluaciónRiesgoCorrupR1!$F$11&lt;51,D18=1,E18=10),$F$25,IF(AND(I18&gt;0,[16]EvaluaciónRiesgoCorrupR1!$F$11&lt;51,D18=1,E18=20),$G$25," ")))</f>
        <v xml:space="preserve"> </v>
      </c>
      <c r="BJ18" s="29" t="str">
        <f>IF(AND(I18&gt;0,[16]EvaluaciónRiesgoCorrupR1!$F$11&lt;51,D18=2,E18=5),$E$26,IF(AND(I18&gt;0,[16]EvaluaciónRiesgoCorrupR1!$F$11&lt;51,D18=2,E18=10),$F$26,IF(AND(I18&gt;0,[16]EvaluaciónRiesgoCorrupR1!$F$11&lt;51,D18=2,E18=20),$G$26," ")))</f>
        <v xml:space="preserve"> </v>
      </c>
      <c r="BK18" s="29" t="str">
        <f>IF(AND(I18&gt;0,[16]EvaluaciónRiesgoCorrupR1!$F$11&lt;51,D18=3,E18=5),$E$27,IF(AND(I18&gt;0,[16]EvaluaciónRiesgoCorrupR1!$F$11&lt;51,D18=3,E18=10),$F$27,IF(AND(I18&gt;0,[16]EvaluaciónRiesgoCorrupR1!$F$11&lt;51,D18=3,E18=20),$G$27," ")))</f>
        <v xml:space="preserve"> </v>
      </c>
      <c r="BL18" s="29" t="str">
        <f>IF(AND(I18&gt;0,[16]EvaluaciónRiesgoCorrupR1!$F$11&lt;51,D18=4,E18=5),$E$28,IF(AND(I18&gt;0,[16]EvaluaciónRiesgoCorrupR1!$F$11&lt;51,D18=4,E18=10),$F$28,IF(AND(I18&gt;0,[16]EvaluaciónRiesgoCorrupR1!$F$11&lt;51,D18=4,E18=20),$G$28," ")))</f>
        <v xml:space="preserve"> </v>
      </c>
      <c r="BM18" s="29" t="str">
        <f>IF(AND(I18&gt;0,[16]EvaluaciónRiesgoCorrupR1!$F$11&lt;51,D18=5,E18=5),$E$29,IF(AND(I18&gt;0,[16]EvaluaciónRiesgoCorrupR1!$F$11&lt;51,D18=5,E18=10),$F$29,IF(AND(I18&gt;0,[16]EvaluaciónRiesgoCorrupR1!$F$11&lt;51,D18=5,E18=20),$G$29," ")))</f>
        <v xml:space="preserve"> </v>
      </c>
    </row>
    <row r="19" spans="1:65" ht="153.75" customHeight="1" x14ac:dyDescent="0.3">
      <c r="A19" s="32">
        <f>[16]IdentRiesgo!A8</f>
        <v>0</v>
      </c>
      <c r="B19" s="22">
        <f>[16]IdentRiesgo!B8</f>
        <v>0</v>
      </c>
      <c r="C19" s="22">
        <f>[16]IdentRiesgo!D8</f>
        <v>0</v>
      </c>
      <c r="D19" s="23" t="str">
        <f>IF([16]AnálisisRiesgo!B11&gt;0,5,IF([16]AnálisisRiesgo!C11&gt;0,4,IF([16]AnálisisRiesgo!D11&gt;0,3,IF([16]AnálisisRiesgo!E11&gt;0,2,IF([16]AnálisisRiesgo!F11&gt;0,1,"")))))</f>
        <v/>
      </c>
      <c r="E19" s="23" t="str">
        <f>IF([16]AnálisisRiesgo!G11&gt;0,5,IF([16]AnálisisRiesgo!H11&gt;0,4,IF([16]AnálisisRiesgo!I11&gt;0,3,IF([16]AnálisisRiesgo!J11&gt;0,2,IF([16]AnálisisRiesgo!K11&gt;0,1,IF([16]AnálisisRiesgo!L11&gt;0,20,IF([16]AnálisisRiesgo!M11&gt;0,10,IF([16]AnálisisRiesgo!N11&gt;0,5,""))))))))</f>
        <v/>
      </c>
      <c r="F19" s="23" t="str">
        <f t="shared" si="0"/>
        <v xml:space="preserve">     </v>
      </c>
      <c r="G19" s="24"/>
      <c r="H19" s="49"/>
      <c r="I19" s="26"/>
      <c r="J19" s="23" t="str">
        <f t="shared" si="1"/>
        <v xml:space="preserve">                              </v>
      </c>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IF(AND(H19&gt;0,[16]EvaluaciónRiesgoCorrupR1!$F$11&gt;75,D19=1,E19=5),$E$25,IF(AND(H19&gt;0,[16]EvaluaciónRiesgoCorrupR1!$F$11&gt;75,D19=1,E19=10),$F$25,IF(AND(H19&gt;0,[16]EvaluaciónRiesgoCorrupR1!$F$11&gt;75,D19=1,E19=20),$G$25," ")))</f>
        <v xml:space="preserve"> </v>
      </c>
      <c r="AA19" s="29" t="str">
        <f>IF(AND(H19&gt;0,[16]EvaluaciónRiesgoCorrupR1!$F$11&gt;75,D19=2,E19=5),$E$25,IF(AND(H19&gt;0,[16]EvaluaciónRiesgoCorrupR1!$F$11&gt;75,D19=2,E19=10),$F$25,IF(AND(H19&gt;0,[16]EvaluaciónRiesgoCorrupR1!$F$11&gt;75,D19=2,E19=20),$G$25," ")))</f>
        <v xml:space="preserve"> </v>
      </c>
      <c r="AB19" s="29" t="str">
        <f>IF(AND(H19&gt;0,[16]EvaluaciónRiesgoCorrupR1!$F$11&gt;75,D19=3,E19=5),$E$25,IF(AND(H19&gt;0,[16]EvaluaciónRiesgoCorrupR1!$F$11&gt;75,D19=3,E19=10),$F$25,IF(AND(H19&gt;0,[16]EvaluaciónRiesgoCorrupR1!$F$11&gt;75,D19=3,E19=20),$G$25," ")))</f>
        <v xml:space="preserve"> </v>
      </c>
      <c r="AC19" s="29" t="str">
        <f>IF(AND(H19&gt;0,[16]EvaluaciónRiesgoCorrupR1!$F$11&gt;75,D19=4,E19=5),$E$26,IF(AND(H19&gt;0,[16]EvaluaciónRiesgoCorrupR1!$F$11&gt;75,D19=4,E19=10),$F$26,IF(AND(H19&gt;0,[16]EvaluaciónRiesgoCorrupR1!$F$11&gt;75,D19=4,E19=20),$G$26," ")))</f>
        <v xml:space="preserve"> </v>
      </c>
      <c r="AD19" s="29" t="str">
        <f>IF(AND(H19&gt;0,[16]EvaluaciónRiesgoCorrupR1!$F$11&gt;75,D19=5,E19=5),$E$27,IF(AND(H19&gt;0,[16]EvaluaciónRiesgoCorrupR1!$F$11&gt;75,D19=5,E19=10),$F$27,IF(AND(H19&gt;0,[16]EvaluaciónRiesgoCorrupR1!$F$11&gt;75,D19=5,E19=20),$G$27," ")))</f>
        <v xml:space="preserve"> </v>
      </c>
      <c r="AF19" s="29" t="str">
        <f>IF(AND(H19&gt;0,[16]EvaluaciónRiesgoCorrupR1!$F$11&gt;50,[16]EvaluaciónRiesgoCorrupR1!$F$11&lt;76,D19=1,E19=5),$E$25,IF(AND(H19&gt;0,[16]EvaluaciónRiesgoCorrupR1!$F$11&gt;50,[16]EvaluaciónRiesgoCorrupR1!$F$11&lt;76,D19=1,E19=10),$F$25,IF(AND(H19&gt;0,[16]EvaluaciónRiesgoCorrupR1!$F$11&gt;50,[16]EvaluaciónRiesgoCorrupR1!$F$11&lt;76,D19=1,E19=20),$G$25," ")))</f>
        <v xml:space="preserve"> </v>
      </c>
      <c r="AG19" s="29" t="str">
        <f>IF(AND(H19&gt;0,[16]EvaluaciónRiesgoCorrupR1!$F$11&gt;50,[16]EvaluaciónRiesgoCorrupR1!$F$11&lt;76,D19=2,E19=5),$E$25,IF(AND(H19&gt;0,[16]EvaluaciónRiesgoCorrupR1!$F$11&gt;50,[16]EvaluaciónRiesgoCorrupR1!$F$11&lt;76,D19=2,E19=10),$F$25,IF(AND(H19&gt;0,[16]EvaluaciónRiesgoCorrupR1!$F$11&gt;50,[16]EvaluaciónRiesgoCorrupR1!$F$11&lt;76,D19=2,E19=20),$G$25," ")))</f>
        <v xml:space="preserve"> </v>
      </c>
      <c r="AH19" s="29" t="str">
        <f>IF(AND(H19&gt;0,[16]EvaluaciónRiesgoCorrupR1!$F$11&gt;50,[16]EvaluaciónRiesgoCorrupR1!$F$11&lt;76,D19=3,E19=5),$E$26,IF(AND(H19&gt;0,[16]EvaluaciónRiesgoCorrupR1!$F$11&gt;50,[16]EvaluaciónRiesgoCorrupR1!$F$11&lt;76,D19=3,E19=10),$F$26,IF(AND(H19&gt;0,[16]EvaluaciónRiesgoCorrupR1!$F$11&gt;50,[16]EvaluaciónRiesgoCorrupR1!$F$11&lt;76,D19=3,E19=20),$G$26," ")))</f>
        <v xml:space="preserve"> </v>
      </c>
      <c r="AI19" s="29" t="str">
        <f>IF(AND(H19&gt;0,[16]EvaluaciónRiesgoCorrupR1!$F$11&gt;50,[16]EvaluaciónRiesgoCorrupR1!$F$11&lt;76,D19=4,E19=5),$E$27,IF(AND(H19&gt;0,[16]EvaluaciónRiesgoCorrupR1!$F$11&gt;50,[16]EvaluaciónRiesgoCorrupR1!$F$11&lt;76,D19=4,E19=10),$F$27,IF(AND(H19&gt;0,[16]EvaluaciónRiesgoCorrupR1!$F$11&gt;50,[16]EvaluaciónRiesgoCorrupR1!$F$11&lt;76,D19=4,E19=20),$G$27," ")))</f>
        <v xml:space="preserve"> </v>
      </c>
      <c r="AJ19" s="29" t="str">
        <f>IF(AND(H19&gt;0,[16]EvaluaciónRiesgoCorrupR1!$F$11&gt;50,[16]EvaluaciónRiesgoCorrupR1!$F$11&lt;76,D19=5,E19=5),$E$28,IF(AND(H19&gt;0,[16]EvaluaciónRiesgoCorrupR1!$F$11&gt;50,[16]EvaluaciónRiesgoCorrupR1!$F$11&lt;76,D19=5,E19=10),$F$28,IF(AND(H19&gt;0,[16]EvaluaciónRiesgoCorrupR1!$F$11&gt;50,[16]EvaluaciónRiesgoCorrupR1!$F$11&lt;76,D19=5,E19=20),$G$28," ")))</f>
        <v xml:space="preserve"> </v>
      </c>
      <c r="AM19" s="29" t="str">
        <f>IF(AND(H19&gt;0,[16]EvaluaciónRiesgoCorrupR1!$F$11&lt;51,D19=1,E19=5),$E$25,IF(AND(H19&gt;0,[16]EvaluaciónRiesgoCorrupR1!$F$11&lt;51,D19=1,E19=10),$F$25,IF(AND(H19&gt;0,[16]EvaluaciónRiesgoCorrupR1!$F$11&lt;51,D19=1,E19=20),G$25," ")))</f>
        <v xml:space="preserve"> </v>
      </c>
      <c r="AN19" s="29" t="str">
        <f>IF(AND(H19&gt;0,[16]EvaluaciónRiesgoCorrupR1!$F$11&lt;51,D19=2,E19=5),$E$26,IF(AND(H19&gt;0,[16]EvaluaciónRiesgoCorrupR1!$F$11&lt;51,D19=2,E19=10),$F$26,IF(AND(H19&gt;0,[16]EvaluaciónRiesgoCorrupR1!$F$11&lt;51,D19=2,E19=20),G$26," ")))</f>
        <v xml:space="preserve"> </v>
      </c>
      <c r="AO19" s="29" t="str">
        <f>IF(AND(H19&gt;0,[16]EvaluaciónRiesgoCorrupR1!$F$11&lt;51,D19=3,E19=5),$E$27,IF(AND(H19&gt;0,[16]EvaluaciónRiesgoCorrupR1!$F$11&lt;51,D19=3,E19=10),$F$27,IF(AND(H19&gt;0,[16]EvaluaciónRiesgoCorrupR1!$F$11&lt;51,D19=3,E19=20),G$27," ")))</f>
        <v xml:space="preserve"> </v>
      </c>
      <c r="AP19" s="29" t="str">
        <f>IF(AND(H19&gt;0,[16]EvaluaciónRiesgoCorrupR1!$F$11&lt;51,D19=4,E19=5),$E$28,IF(AND(H19&gt;0,[16]EvaluaciónRiesgoCorrupR1!$F$11&lt;51,D19=4,E19=10),$F$28,IF(AND(H19&gt;0,[16]EvaluaciónRiesgoCorrupR1!$F$11&lt;51,D19=4,E19=20),G$28," ")))</f>
        <v xml:space="preserve"> </v>
      </c>
      <c r="AQ19" s="29" t="str">
        <f>IF(AND(H19&gt;0,[16]EvaluaciónRiesgoCorrupR1!$F$11&lt;51,D19=5,E19=5),$E$29,IF(AND(H19&gt;0,[16]EvaluaciónRiesgoCorrupR1!$F$11&lt;51,D19=5,E19=10),$F$29,IF(AND(H19&gt;0,[16]EvaluaciónRiesgoCorrupR1!$F$11&lt;51,D19=5,E19=20),G$29," ")))</f>
        <v xml:space="preserve"> </v>
      </c>
      <c r="AU19" s="29" t="str">
        <f>IF(AND(I19&gt;0,[16]EvaluaciónRiesgoCorrupR1!$F$11&gt;75,D19=1,E19=5),$E$25,IF(AND(I19&gt;0,[16]EvaluaciónRiesgoCorrupR1!$F$11&gt;75,D19=1,E19=10),$E$25,IF(AND(I19&gt;0,[16]EvaluaciónRiesgoCorrupR1!$F$11&gt;75,D19=1,E19=20),$E$25," ")))</f>
        <v xml:space="preserve"> </v>
      </c>
      <c r="AV19" s="29" t="str">
        <f>IF(AND(I19&gt;0,[16]EvaluaciónRiesgoCorrupR1!$F$11&gt;75,D19=2,E19=5),$E$26,IF(AND(I19&gt;0,[16]EvaluaciónRiesgoCorrupR1!$F$11&gt;75,D19=2,E19=10),$E$26,IF(AND(I19&gt;0,[16]EvaluaciónRiesgoCorrupR1!$F$11&gt;75,D19=2,E19=20),$E$26," ")))</f>
        <v xml:space="preserve"> </v>
      </c>
      <c r="AW19" s="29" t="str">
        <f>IF(AND(I19&gt;0,[16]EvaluaciónRiesgoCorrupR1!$F$11&gt;75,D19=3,E19=5),$E$27,IF(AND(I19&gt;0,[16]EvaluaciónRiesgoCorrupR1!$F$11&gt;75,D19=3,E19=10),$E$27,IF(AND(I19&gt;0,[16]EvaluaciónRiesgoCorrupR1!$F$11&gt;75,D19=3,E19=20),$E$27," ")))</f>
        <v xml:space="preserve"> </v>
      </c>
      <c r="AX19" s="29" t="str">
        <f>IF(AND(I19&gt;0,[16]EvaluaciónRiesgoCorrupR1!$F$11&gt;75,D19=4,E19=5),$E$28,IF(AND(I19&gt;0,[16]EvaluaciónRiesgoCorrupR1!$F$11&gt;75,D19=4,E19=10),$E$28,IF(AND(I19&gt;0,[16]EvaluaciónRiesgoCorrupR1!$F$11&gt;75,D19=4,E19=20),$E$28," ")))</f>
        <v xml:space="preserve"> </v>
      </c>
      <c r="AY19" s="29" t="str">
        <f>IF(AND(I19&gt;0,[16]EvaluaciónRiesgoCorrupR1!$F$11&gt;75,D19=5,E19=5),$E$29,IF(AND(I19&gt;0,[16]EvaluaciónRiesgoCorrupR1!$F$11&gt;75,D19=5,E19=10),$E$29,IF(AND(I19&gt;0,[16]EvaluaciónRiesgoCorrupR1!$F$11&gt;75,D19=5,E19=20),$E$29," ")))</f>
        <v xml:space="preserve"> </v>
      </c>
      <c r="BB19" s="29" t="str">
        <f>IF(AND(I19&gt;0,[16]EvaluaciónRiesgoCorrupR1!$F$11&gt;50,[16]EvaluaciónRiesgoCorrupR1!$F$11&lt;76,D19=1,E19=5),$E$25,IF(AND(I19&gt;0,[16]EvaluaciónRiesgoCorrupR1!$F$11&gt;50,[16]EvaluaciónRiesgoCorrupR1!$F$11&lt;76,D19=1,E19=10),$E$25,IF(AND(I19&gt;0,[16]EvaluaciónRiesgoCorrupR1!$F$11&gt;50,[16]EvaluaciónRiesgoCorrupR1!$F$11&lt;76,D19=1,E19=20),$F$25," ")))</f>
        <v xml:space="preserve"> </v>
      </c>
      <c r="BC19" s="29" t="str">
        <f>IF(AND(I19&gt;0,[16]EvaluaciónRiesgoCorrupR1!$F$11&gt;50,[16]EvaluaciónRiesgoCorrupR1!$F$11&lt;76,D19=2,E19=5),$E$26,IF(AND(I19&gt;0,[16]EvaluaciónRiesgoCorrupR1!$F$11&gt;50,[16]EvaluaciónRiesgoCorrupR1!$F$11&lt;76,D19=2,E19=10),$E$26,IF(AND(I19&gt;0,[16]EvaluaciónRiesgoCorrupR1!$F$11&gt;50,[16]EvaluaciónRiesgoCorrupR1!$F$11&lt;76,D19=2,E19=20),$F$26," ")))</f>
        <v xml:space="preserve"> </v>
      </c>
      <c r="BD19" s="29" t="str">
        <f>IF(AND(I19&gt;0,[16]EvaluaciónRiesgoCorrupR1!$F$11&gt;50,[16]EvaluaciónRiesgoCorrupR1!$F$11&lt;76,D19=3,E19=5),$E$27,IF(AND(I19&gt;0,[16]EvaluaciónRiesgoCorrupR1!$F$11&gt;50,[16]EvaluaciónRiesgoCorrupR1!$F$11&lt;76,D19=3,E19=10),$E$27,IF(AND(I19&gt;0,[16]EvaluaciónRiesgoCorrupR1!$F$11&gt;50,[16]EvaluaciónRiesgoCorrupR1!$F$11&lt;76,D19=3,E19=20),$F$27," ")))</f>
        <v xml:space="preserve"> </v>
      </c>
      <c r="BE19" s="29" t="str">
        <f>IF(AND(I19&gt;0,[16]EvaluaciónRiesgoCorrupR1!$F$11&gt;50,[16]EvaluaciónRiesgoCorrupR1!$F$11&lt;76,D19=4,E19=5),$E$28,IF(AND(I19&gt;0,[16]EvaluaciónRiesgoCorrupR1!$F$11&gt;50,[16]EvaluaciónRiesgoCorrupR1!$F$11&lt;76,D19=4,E19=10),$E$28,IF(AND(I19&gt;0,[16]EvaluaciónRiesgoCorrupR1!$F$11&gt;50,[16]EvaluaciónRiesgoCorrupR1!$F$11&lt;76,D19=4,E19=20),$F$28," ")))</f>
        <v xml:space="preserve"> </v>
      </c>
      <c r="BF19" s="29" t="str">
        <f>IF(AND(I19&gt;0,[16]EvaluaciónRiesgoCorrupR1!$F$11&gt;50,[16]EvaluaciónRiesgoCorrupR1!$F$11&lt;76,D19=5,E19=5),$E$29,IF(AND(I19&gt;0,[16]EvaluaciónRiesgoCorrupR1!$F$11&gt;50,[16]EvaluaciónRiesgoCorrupR1!$F$11&lt;76,D19=5,E19=10),$E$29,IF(AND(I19&gt;0,[16]EvaluaciónRiesgoCorrupR1!$F$11&gt;50,[16]EvaluaciónRiesgoCorrupR1!$F$11&lt;76,D19=5,E19=20),$F$29," ")))</f>
        <v xml:space="preserve"> </v>
      </c>
      <c r="BI19" s="29" t="str">
        <f>IF(AND(I19&gt;0,[16]EvaluaciónRiesgoCorrupR1!$F$11&lt;51,D19=1,E19=5),$E$25,IF(AND(I19&gt;0,[16]EvaluaciónRiesgoCorrupR1!$F$11&lt;51,D19=1,E19=10),$F$25,IF(AND(I19&gt;0,[16]EvaluaciónRiesgoCorrupR1!$F$11&lt;51,D19=1,E19=20),$G$25," ")))</f>
        <v xml:space="preserve"> </v>
      </c>
      <c r="BJ19" s="29" t="str">
        <f>IF(AND(I19&gt;0,[16]EvaluaciónRiesgoCorrupR1!$F$11&lt;51,D19=2,E19=5),$E$26,IF(AND(I19&gt;0,[16]EvaluaciónRiesgoCorrupR1!$F$11&lt;51,D19=2,E19=10),$F$26,IF(AND(I19&gt;0,[16]EvaluaciónRiesgoCorrupR1!$F$11&lt;51,D19=2,E19=20),$G$26," ")))</f>
        <v xml:space="preserve"> </v>
      </c>
      <c r="BK19" s="29" t="str">
        <f>IF(AND(I19&gt;0,[16]EvaluaciónRiesgoCorrupR1!$F$11&lt;51,D19=3,E19=5),$E$27,IF(AND(I19&gt;0,[16]EvaluaciónRiesgoCorrupR1!$F$11&lt;51,D19=3,E19=10),$F$27,IF(AND(I19&gt;0,[16]EvaluaciónRiesgoCorrupR1!$F$11&lt;51,D19=3,E19=20),$G$27," ")))</f>
        <v xml:space="preserve"> </v>
      </c>
      <c r="BL19" s="29" t="str">
        <f>IF(AND(I19&gt;0,[16]EvaluaciónRiesgoCorrupR1!$F$11&lt;51,D19=4,E19=5),$E$28,IF(AND(I19&gt;0,[16]EvaluaciónRiesgoCorrupR1!$F$11&lt;51,D19=4,E19=10),$F$28,IF(AND(I19&gt;0,[16]EvaluaciónRiesgoCorrupR1!$F$11&lt;51,D19=4,E19=20),$G$28," ")))</f>
        <v xml:space="preserve"> </v>
      </c>
      <c r="BM19" s="29" t="str">
        <f>IF(AND(I19&gt;0,[16]EvaluaciónRiesgoCorrupR1!$F$11&lt;51,D19=5,E19=5),$E$29,IF(AND(I19&gt;0,[16]EvaluaciónRiesgoCorrupR1!$F$11&lt;51,D19=5,E19=10),$F$29,IF(AND(I19&gt;0,[16]EvaluaciónRiesgoCorrupR1!$F$11&lt;51,D19=5,E19=20),$G$29," ")))</f>
        <v xml:space="preserve"> </v>
      </c>
    </row>
    <row r="20" spans="1:65" ht="13.9" x14ac:dyDescent="0.3">
      <c r="A20" s="32"/>
      <c r="B20" s="22"/>
      <c r="C20" s="22"/>
    </row>
    <row r="21" spans="1:65" ht="13.9" x14ac:dyDescent="0.3">
      <c r="A21" s="29"/>
      <c r="B21" s="31"/>
      <c r="C21" s="31"/>
    </row>
    <row r="22" spans="1:65" ht="15" thickBot="1" x14ac:dyDescent="0.3">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3:D24"/>
    <mergeCell ref="E23:G23"/>
    <mergeCell ref="K15:M15"/>
  </mergeCells>
  <conditionalFormatting sqref="F17:F19 J17:J19">
    <cfRule type="containsText" dxfId="7" priority="1" operator="containsText" text="E">
      <formula>NOT(ISERROR(SEARCH("E",F17)))</formula>
    </cfRule>
    <cfRule type="containsText" dxfId="6" priority="2" operator="containsText" text="M">
      <formula>NOT(ISERROR(SEARCH("M",F17)))</formula>
    </cfRule>
    <cfRule type="containsText" dxfId="5" priority="3" operator="containsText" text="A">
      <formula>NOT(ISERROR(SEARCH("A",F17)))</formula>
    </cfRule>
    <cfRule type="containsText" dxfId="4"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9"/>
  <sheetViews>
    <sheetView showGridLines="0" view="pageBreakPreview" topLeftCell="B1" zoomScale="40" zoomScaleNormal="60" zoomScaleSheetLayoutView="40" workbookViewId="0">
      <selection activeCell="D12" sqref="D12:Q12"/>
    </sheetView>
  </sheetViews>
  <sheetFormatPr baseColWidth="10"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31.5703125" style="2" customWidth="1"/>
    <col min="8" max="8" width="17.7109375" style="5" customWidth="1"/>
    <col min="9" max="9" width="18.5703125" style="2" customWidth="1"/>
    <col min="10" max="10" width="21.7109375" style="2" customWidth="1"/>
    <col min="11" max="11" width="19.85546875" style="2" customWidth="1"/>
    <col min="12" max="12" width="34.140625" style="2" customWidth="1"/>
    <col min="13" max="13" width="17" style="2" customWidth="1"/>
    <col min="14" max="14" width="36.42578125" style="5" customWidth="1"/>
    <col min="15" max="15" width="26.5703125" style="2" customWidth="1"/>
    <col min="16" max="18" width="30.42578125" style="2" customWidth="1"/>
    <col min="19" max="19" width="36" style="2" hidden="1" customWidth="1"/>
    <col min="20" max="68" width="11.42578125" style="2" hidden="1" customWidth="1"/>
    <col min="69" max="256" width="11.42578125" style="2"/>
    <col min="257" max="257" width="41.28515625" style="2" customWidth="1"/>
    <col min="258" max="259" width="40.42578125" style="2" customWidth="1"/>
    <col min="260" max="260" width="27" style="2" customWidth="1"/>
    <col min="261" max="261" width="19" style="2" customWidth="1"/>
    <col min="262" max="262" width="26.7109375" style="2" customWidth="1"/>
    <col min="263" max="263" width="31.5703125" style="2" customWidth="1"/>
    <col min="264" max="264" width="17.7109375" style="2" customWidth="1"/>
    <col min="265" max="265" width="18.5703125" style="2" customWidth="1"/>
    <col min="266" max="266" width="21.7109375" style="2" customWidth="1"/>
    <col min="267" max="267" width="19.85546875" style="2" customWidth="1"/>
    <col min="268" max="268" width="34.140625" style="2" customWidth="1"/>
    <col min="269" max="269" width="17" style="2" customWidth="1"/>
    <col min="270" max="270" width="36.42578125" style="2" customWidth="1"/>
    <col min="271" max="271" width="26.5703125" style="2" customWidth="1"/>
    <col min="272" max="274" width="30.42578125" style="2" customWidth="1"/>
    <col min="275" max="324" width="0" style="2" hidden="1" customWidth="1"/>
    <col min="325" max="512" width="11.42578125" style="2"/>
    <col min="513" max="513" width="41.28515625" style="2" customWidth="1"/>
    <col min="514" max="515" width="40.42578125" style="2" customWidth="1"/>
    <col min="516" max="516" width="27" style="2" customWidth="1"/>
    <col min="517" max="517" width="19" style="2" customWidth="1"/>
    <col min="518" max="518" width="26.7109375" style="2" customWidth="1"/>
    <col min="519" max="519" width="31.5703125" style="2" customWidth="1"/>
    <col min="520" max="520" width="17.7109375" style="2" customWidth="1"/>
    <col min="521" max="521" width="18.5703125" style="2" customWidth="1"/>
    <col min="522" max="522" width="21.7109375" style="2" customWidth="1"/>
    <col min="523" max="523" width="19.85546875" style="2" customWidth="1"/>
    <col min="524" max="524" width="34.140625" style="2" customWidth="1"/>
    <col min="525" max="525" width="17" style="2" customWidth="1"/>
    <col min="526" max="526" width="36.42578125" style="2" customWidth="1"/>
    <col min="527" max="527" width="26.5703125" style="2" customWidth="1"/>
    <col min="528" max="530" width="30.42578125" style="2" customWidth="1"/>
    <col min="531" max="580" width="0" style="2" hidden="1" customWidth="1"/>
    <col min="581" max="768" width="11.42578125" style="2"/>
    <col min="769" max="769" width="41.28515625" style="2" customWidth="1"/>
    <col min="770" max="771" width="40.42578125" style="2" customWidth="1"/>
    <col min="772" max="772" width="27" style="2" customWidth="1"/>
    <col min="773" max="773" width="19" style="2" customWidth="1"/>
    <col min="774" max="774" width="26.7109375" style="2" customWidth="1"/>
    <col min="775" max="775" width="31.5703125" style="2" customWidth="1"/>
    <col min="776" max="776" width="17.7109375" style="2" customWidth="1"/>
    <col min="777" max="777" width="18.5703125" style="2" customWidth="1"/>
    <col min="778" max="778" width="21.7109375" style="2" customWidth="1"/>
    <col min="779" max="779" width="19.85546875" style="2" customWidth="1"/>
    <col min="780" max="780" width="34.140625" style="2" customWidth="1"/>
    <col min="781" max="781" width="17" style="2" customWidth="1"/>
    <col min="782" max="782" width="36.42578125" style="2" customWidth="1"/>
    <col min="783" max="783" width="26.5703125" style="2" customWidth="1"/>
    <col min="784" max="786" width="30.42578125" style="2" customWidth="1"/>
    <col min="787" max="836" width="0" style="2" hidden="1" customWidth="1"/>
    <col min="837" max="1024" width="11.42578125" style="2"/>
    <col min="1025" max="1025" width="41.28515625" style="2" customWidth="1"/>
    <col min="1026" max="1027" width="40.42578125" style="2" customWidth="1"/>
    <col min="1028" max="1028" width="27" style="2" customWidth="1"/>
    <col min="1029" max="1029" width="19" style="2" customWidth="1"/>
    <col min="1030" max="1030" width="26.7109375" style="2" customWidth="1"/>
    <col min="1031" max="1031" width="31.5703125" style="2" customWidth="1"/>
    <col min="1032" max="1032" width="17.7109375" style="2" customWidth="1"/>
    <col min="1033" max="1033" width="18.5703125" style="2" customWidth="1"/>
    <col min="1034" max="1034" width="21.7109375" style="2" customWidth="1"/>
    <col min="1035" max="1035" width="19.85546875" style="2" customWidth="1"/>
    <col min="1036" max="1036" width="34.140625" style="2" customWidth="1"/>
    <col min="1037" max="1037" width="17" style="2" customWidth="1"/>
    <col min="1038" max="1038" width="36.42578125" style="2" customWidth="1"/>
    <col min="1039" max="1039" width="26.5703125" style="2" customWidth="1"/>
    <col min="1040" max="1042" width="30.42578125" style="2" customWidth="1"/>
    <col min="1043" max="1092" width="0" style="2" hidden="1" customWidth="1"/>
    <col min="1093" max="1280" width="11.42578125" style="2"/>
    <col min="1281" max="1281" width="41.28515625" style="2" customWidth="1"/>
    <col min="1282" max="1283" width="40.42578125" style="2" customWidth="1"/>
    <col min="1284" max="1284" width="27" style="2" customWidth="1"/>
    <col min="1285" max="1285" width="19" style="2" customWidth="1"/>
    <col min="1286" max="1286" width="26.7109375" style="2" customWidth="1"/>
    <col min="1287" max="1287" width="31.5703125" style="2" customWidth="1"/>
    <col min="1288" max="1288" width="17.7109375" style="2" customWidth="1"/>
    <col min="1289" max="1289" width="18.5703125" style="2" customWidth="1"/>
    <col min="1290" max="1290" width="21.7109375" style="2" customWidth="1"/>
    <col min="1291" max="1291" width="19.85546875" style="2" customWidth="1"/>
    <col min="1292" max="1292" width="34.140625" style="2" customWidth="1"/>
    <col min="1293" max="1293" width="17" style="2" customWidth="1"/>
    <col min="1294" max="1294" width="36.42578125" style="2" customWidth="1"/>
    <col min="1295" max="1295" width="26.5703125" style="2" customWidth="1"/>
    <col min="1296" max="1298" width="30.42578125" style="2" customWidth="1"/>
    <col min="1299" max="1348" width="0" style="2" hidden="1" customWidth="1"/>
    <col min="1349" max="1536" width="11.42578125" style="2"/>
    <col min="1537" max="1537" width="41.28515625" style="2" customWidth="1"/>
    <col min="1538" max="1539" width="40.42578125" style="2" customWidth="1"/>
    <col min="1540" max="1540" width="27" style="2" customWidth="1"/>
    <col min="1541" max="1541" width="19" style="2" customWidth="1"/>
    <col min="1542" max="1542" width="26.7109375" style="2" customWidth="1"/>
    <col min="1543" max="1543" width="31.5703125" style="2" customWidth="1"/>
    <col min="1544" max="1544" width="17.7109375" style="2" customWidth="1"/>
    <col min="1545" max="1545" width="18.5703125" style="2" customWidth="1"/>
    <col min="1546" max="1546" width="21.7109375" style="2" customWidth="1"/>
    <col min="1547" max="1547" width="19.85546875" style="2" customWidth="1"/>
    <col min="1548" max="1548" width="34.140625" style="2" customWidth="1"/>
    <col min="1549" max="1549" width="17" style="2" customWidth="1"/>
    <col min="1550" max="1550" width="36.42578125" style="2" customWidth="1"/>
    <col min="1551" max="1551" width="26.5703125" style="2" customWidth="1"/>
    <col min="1552" max="1554" width="30.42578125" style="2" customWidth="1"/>
    <col min="1555" max="1604" width="0" style="2" hidden="1" customWidth="1"/>
    <col min="1605" max="1792" width="11.42578125" style="2"/>
    <col min="1793" max="1793" width="41.28515625" style="2" customWidth="1"/>
    <col min="1794" max="1795" width="40.42578125" style="2" customWidth="1"/>
    <col min="1796" max="1796" width="27" style="2" customWidth="1"/>
    <col min="1797" max="1797" width="19" style="2" customWidth="1"/>
    <col min="1798" max="1798" width="26.7109375" style="2" customWidth="1"/>
    <col min="1799" max="1799" width="31.5703125" style="2" customWidth="1"/>
    <col min="1800" max="1800" width="17.7109375" style="2" customWidth="1"/>
    <col min="1801" max="1801" width="18.5703125" style="2" customWidth="1"/>
    <col min="1802" max="1802" width="21.7109375" style="2" customWidth="1"/>
    <col min="1803" max="1803" width="19.85546875" style="2" customWidth="1"/>
    <col min="1804" max="1804" width="34.140625" style="2" customWidth="1"/>
    <col min="1805" max="1805" width="17" style="2" customWidth="1"/>
    <col min="1806" max="1806" width="36.42578125" style="2" customWidth="1"/>
    <col min="1807" max="1807" width="26.5703125" style="2" customWidth="1"/>
    <col min="1808" max="1810" width="30.42578125" style="2" customWidth="1"/>
    <col min="1811" max="1860" width="0" style="2" hidden="1" customWidth="1"/>
    <col min="1861" max="2048" width="11.42578125" style="2"/>
    <col min="2049" max="2049" width="41.28515625" style="2" customWidth="1"/>
    <col min="2050" max="2051" width="40.42578125" style="2" customWidth="1"/>
    <col min="2052" max="2052" width="27" style="2" customWidth="1"/>
    <col min="2053" max="2053" width="19" style="2" customWidth="1"/>
    <col min="2054" max="2054" width="26.7109375" style="2" customWidth="1"/>
    <col min="2055" max="2055" width="31.5703125" style="2" customWidth="1"/>
    <col min="2056" max="2056" width="17.7109375" style="2" customWidth="1"/>
    <col min="2057" max="2057" width="18.5703125" style="2" customWidth="1"/>
    <col min="2058" max="2058" width="21.7109375" style="2" customWidth="1"/>
    <col min="2059" max="2059" width="19.85546875" style="2" customWidth="1"/>
    <col min="2060" max="2060" width="34.140625" style="2" customWidth="1"/>
    <col min="2061" max="2061" width="17" style="2" customWidth="1"/>
    <col min="2062" max="2062" width="36.42578125" style="2" customWidth="1"/>
    <col min="2063" max="2063" width="26.5703125" style="2" customWidth="1"/>
    <col min="2064" max="2066" width="30.42578125" style="2" customWidth="1"/>
    <col min="2067" max="2116" width="0" style="2" hidden="1" customWidth="1"/>
    <col min="2117" max="2304" width="11.42578125" style="2"/>
    <col min="2305" max="2305" width="41.28515625" style="2" customWidth="1"/>
    <col min="2306" max="2307" width="40.42578125" style="2" customWidth="1"/>
    <col min="2308" max="2308" width="27" style="2" customWidth="1"/>
    <col min="2309" max="2309" width="19" style="2" customWidth="1"/>
    <col min="2310" max="2310" width="26.7109375" style="2" customWidth="1"/>
    <col min="2311" max="2311" width="31.5703125" style="2" customWidth="1"/>
    <col min="2312" max="2312" width="17.7109375" style="2" customWidth="1"/>
    <col min="2313" max="2313" width="18.5703125" style="2" customWidth="1"/>
    <col min="2314" max="2314" width="21.7109375" style="2" customWidth="1"/>
    <col min="2315" max="2315" width="19.85546875" style="2" customWidth="1"/>
    <col min="2316" max="2316" width="34.140625" style="2" customWidth="1"/>
    <col min="2317" max="2317" width="17" style="2" customWidth="1"/>
    <col min="2318" max="2318" width="36.42578125" style="2" customWidth="1"/>
    <col min="2319" max="2319" width="26.5703125" style="2" customWidth="1"/>
    <col min="2320" max="2322" width="30.42578125" style="2" customWidth="1"/>
    <col min="2323" max="2372" width="0" style="2" hidden="1" customWidth="1"/>
    <col min="2373" max="2560" width="11.42578125" style="2"/>
    <col min="2561" max="2561" width="41.28515625" style="2" customWidth="1"/>
    <col min="2562" max="2563" width="40.42578125" style="2" customWidth="1"/>
    <col min="2564" max="2564" width="27" style="2" customWidth="1"/>
    <col min="2565" max="2565" width="19" style="2" customWidth="1"/>
    <col min="2566" max="2566" width="26.7109375" style="2" customWidth="1"/>
    <col min="2567" max="2567" width="31.5703125" style="2" customWidth="1"/>
    <col min="2568" max="2568" width="17.7109375" style="2" customWidth="1"/>
    <col min="2569" max="2569" width="18.5703125" style="2" customWidth="1"/>
    <col min="2570" max="2570" width="21.7109375" style="2" customWidth="1"/>
    <col min="2571" max="2571" width="19.85546875" style="2" customWidth="1"/>
    <col min="2572" max="2572" width="34.140625" style="2" customWidth="1"/>
    <col min="2573" max="2573" width="17" style="2" customWidth="1"/>
    <col min="2574" max="2574" width="36.42578125" style="2" customWidth="1"/>
    <col min="2575" max="2575" width="26.5703125" style="2" customWidth="1"/>
    <col min="2576" max="2578" width="30.42578125" style="2" customWidth="1"/>
    <col min="2579" max="2628" width="0" style="2" hidden="1" customWidth="1"/>
    <col min="2629" max="2816" width="11.42578125" style="2"/>
    <col min="2817" max="2817" width="41.28515625" style="2" customWidth="1"/>
    <col min="2818" max="2819" width="40.42578125" style="2" customWidth="1"/>
    <col min="2820" max="2820" width="27" style="2" customWidth="1"/>
    <col min="2821" max="2821" width="19" style="2" customWidth="1"/>
    <col min="2822" max="2822" width="26.7109375" style="2" customWidth="1"/>
    <col min="2823" max="2823" width="31.5703125" style="2" customWidth="1"/>
    <col min="2824" max="2824" width="17.7109375" style="2" customWidth="1"/>
    <col min="2825" max="2825" width="18.5703125" style="2" customWidth="1"/>
    <col min="2826" max="2826" width="21.7109375" style="2" customWidth="1"/>
    <col min="2827" max="2827" width="19.85546875" style="2" customWidth="1"/>
    <col min="2828" max="2828" width="34.140625" style="2" customWidth="1"/>
    <col min="2829" max="2829" width="17" style="2" customWidth="1"/>
    <col min="2830" max="2830" width="36.42578125" style="2" customWidth="1"/>
    <col min="2831" max="2831" width="26.5703125" style="2" customWidth="1"/>
    <col min="2832" max="2834" width="30.42578125" style="2" customWidth="1"/>
    <col min="2835" max="2884" width="0" style="2" hidden="1" customWidth="1"/>
    <col min="2885" max="3072" width="11.42578125" style="2"/>
    <col min="3073" max="3073" width="41.28515625" style="2" customWidth="1"/>
    <col min="3074" max="3075" width="40.42578125" style="2" customWidth="1"/>
    <col min="3076" max="3076" width="27" style="2" customWidth="1"/>
    <col min="3077" max="3077" width="19" style="2" customWidth="1"/>
    <col min="3078" max="3078" width="26.7109375" style="2" customWidth="1"/>
    <col min="3079" max="3079" width="31.5703125" style="2" customWidth="1"/>
    <col min="3080" max="3080" width="17.7109375" style="2" customWidth="1"/>
    <col min="3081" max="3081" width="18.5703125" style="2" customWidth="1"/>
    <col min="3082" max="3082" width="21.7109375" style="2" customWidth="1"/>
    <col min="3083" max="3083" width="19.85546875" style="2" customWidth="1"/>
    <col min="3084" max="3084" width="34.140625" style="2" customWidth="1"/>
    <col min="3085" max="3085" width="17" style="2" customWidth="1"/>
    <col min="3086" max="3086" width="36.42578125" style="2" customWidth="1"/>
    <col min="3087" max="3087" width="26.5703125" style="2" customWidth="1"/>
    <col min="3088" max="3090" width="30.42578125" style="2" customWidth="1"/>
    <col min="3091" max="3140" width="0" style="2" hidden="1" customWidth="1"/>
    <col min="3141" max="3328" width="11.42578125" style="2"/>
    <col min="3329" max="3329" width="41.28515625" style="2" customWidth="1"/>
    <col min="3330" max="3331" width="40.42578125" style="2" customWidth="1"/>
    <col min="3332" max="3332" width="27" style="2" customWidth="1"/>
    <col min="3333" max="3333" width="19" style="2" customWidth="1"/>
    <col min="3334" max="3334" width="26.7109375" style="2" customWidth="1"/>
    <col min="3335" max="3335" width="31.5703125" style="2" customWidth="1"/>
    <col min="3336" max="3336" width="17.7109375" style="2" customWidth="1"/>
    <col min="3337" max="3337" width="18.5703125" style="2" customWidth="1"/>
    <col min="3338" max="3338" width="21.7109375" style="2" customWidth="1"/>
    <col min="3339" max="3339" width="19.85546875" style="2" customWidth="1"/>
    <col min="3340" max="3340" width="34.140625" style="2" customWidth="1"/>
    <col min="3341" max="3341" width="17" style="2" customWidth="1"/>
    <col min="3342" max="3342" width="36.42578125" style="2" customWidth="1"/>
    <col min="3343" max="3343" width="26.5703125" style="2" customWidth="1"/>
    <col min="3344" max="3346" width="30.42578125" style="2" customWidth="1"/>
    <col min="3347" max="3396" width="0" style="2" hidden="1" customWidth="1"/>
    <col min="3397" max="3584" width="11.42578125" style="2"/>
    <col min="3585" max="3585" width="41.28515625" style="2" customWidth="1"/>
    <col min="3586" max="3587" width="40.42578125" style="2" customWidth="1"/>
    <col min="3588" max="3588" width="27" style="2" customWidth="1"/>
    <col min="3589" max="3589" width="19" style="2" customWidth="1"/>
    <col min="3590" max="3590" width="26.7109375" style="2" customWidth="1"/>
    <col min="3591" max="3591" width="31.5703125" style="2" customWidth="1"/>
    <col min="3592" max="3592" width="17.7109375" style="2" customWidth="1"/>
    <col min="3593" max="3593" width="18.5703125" style="2" customWidth="1"/>
    <col min="3594" max="3594" width="21.7109375" style="2" customWidth="1"/>
    <col min="3595" max="3595" width="19.85546875" style="2" customWidth="1"/>
    <col min="3596" max="3596" width="34.140625" style="2" customWidth="1"/>
    <col min="3597" max="3597" width="17" style="2" customWidth="1"/>
    <col min="3598" max="3598" width="36.42578125" style="2" customWidth="1"/>
    <col min="3599" max="3599" width="26.5703125" style="2" customWidth="1"/>
    <col min="3600" max="3602" width="30.42578125" style="2" customWidth="1"/>
    <col min="3603" max="3652" width="0" style="2" hidden="1" customWidth="1"/>
    <col min="3653" max="3840" width="11.42578125" style="2"/>
    <col min="3841" max="3841" width="41.28515625" style="2" customWidth="1"/>
    <col min="3842" max="3843" width="40.42578125" style="2" customWidth="1"/>
    <col min="3844" max="3844" width="27" style="2" customWidth="1"/>
    <col min="3845" max="3845" width="19" style="2" customWidth="1"/>
    <col min="3846" max="3846" width="26.7109375" style="2" customWidth="1"/>
    <col min="3847" max="3847" width="31.5703125" style="2" customWidth="1"/>
    <col min="3848" max="3848" width="17.7109375" style="2" customWidth="1"/>
    <col min="3849" max="3849" width="18.5703125" style="2" customWidth="1"/>
    <col min="3850" max="3850" width="21.7109375" style="2" customWidth="1"/>
    <col min="3851" max="3851" width="19.85546875" style="2" customWidth="1"/>
    <col min="3852" max="3852" width="34.140625" style="2" customWidth="1"/>
    <col min="3853" max="3853" width="17" style="2" customWidth="1"/>
    <col min="3854" max="3854" width="36.42578125" style="2" customWidth="1"/>
    <col min="3855" max="3855" width="26.5703125" style="2" customWidth="1"/>
    <col min="3856" max="3858" width="30.42578125" style="2" customWidth="1"/>
    <col min="3859" max="3908" width="0" style="2" hidden="1" customWidth="1"/>
    <col min="3909" max="4096" width="11.42578125" style="2"/>
    <col min="4097" max="4097" width="41.28515625" style="2" customWidth="1"/>
    <col min="4098" max="4099" width="40.42578125" style="2" customWidth="1"/>
    <col min="4100" max="4100" width="27" style="2" customWidth="1"/>
    <col min="4101" max="4101" width="19" style="2" customWidth="1"/>
    <col min="4102" max="4102" width="26.7109375" style="2" customWidth="1"/>
    <col min="4103" max="4103" width="31.5703125" style="2" customWidth="1"/>
    <col min="4104" max="4104" width="17.7109375" style="2" customWidth="1"/>
    <col min="4105" max="4105" width="18.5703125" style="2" customWidth="1"/>
    <col min="4106" max="4106" width="21.7109375" style="2" customWidth="1"/>
    <col min="4107" max="4107" width="19.85546875" style="2" customWidth="1"/>
    <col min="4108" max="4108" width="34.140625" style="2" customWidth="1"/>
    <col min="4109" max="4109" width="17" style="2" customWidth="1"/>
    <col min="4110" max="4110" width="36.42578125" style="2" customWidth="1"/>
    <col min="4111" max="4111" width="26.5703125" style="2" customWidth="1"/>
    <col min="4112" max="4114" width="30.42578125" style="2" customWidth="1"/>
    <col min="4115" max="4164" width="0" style="2" hidden="1" customWidth="1"/>
    <col min="4165" max="4352" width="11.42578125" style="2"/>
    <col min="4353" max="4353" width="41.28515625" style="2" customWidth="1"/>
    <col min="4354" max="4355" width="40.42578125" style="2" customWidth="1"/>
    <col min="4356" max="4356" width="27" style="2" customWidth="1"/>
    <col min="4357" max="4357" width="19" style="2" customWidth="1"/>
    <col min="4358" max="4358" width="26.7109375" style="2" customWidth="1"/>
    <col min="4359" max="4359" width="31.5703125" style="2" customWidth="1"/>
    <col min="4360" max="4360" width="17.7109375" style="2" customWidth="1"/>
    <col min="4361" max="4361" width="18.5703125" style="2" customWidth="1"/>
    <col min="4362" max="4362" width="21.7109375" style="2" customWidth="1"/>
    <col min="4363" max="4363" width="19.85546875" style="2" customWidth="1"/>
    <col min="4364" max="4364" width="34.140625" style="2" customWidth="1"/>
    <col min="4365" max="4365" width="17" style="2" customWidth="1"/>
    <col min="4366" max="4366" width="36.42578125" style="2" customWidth="1"/>
    <col min="4367" max="4367" width="26.5703125" style="2" customWidth="1"/>
    <col min="4368" max="4370" width="30.42578125" style="2" customWidth="1"/>
    <col min="4371" max="4420" width="0" style="2" hidden="1" customWidth="1"/>
    <col min="4421" max="4608" width="11.42578125" style="2"/>
    <col min="4609" max="4609" width="41.28515625" style="2" customWidth="1"/>
    <col min="4610" max="4611" width="40.42578125" style="2" customWidth="1"/>
    <col min="4612" max="4612" width="27" style="2" customWidth="1"/>
    <col min="4613" max="4613" width="19" style="2" customWidth="1"/>
    <col min="4614" max="4614" width="26.7109375" style="2" customWidth="1"/>
    <col min="4615" max="4615" width="31.5703125" style="2" customWidth="1"/>
    <col min="4616" max="4616" width="17.7109375" style="2" customWidth="1"/>
    <col min="4617" max="4617" width="18.5703125" style="2" customWidth="1"/>
    <col min="4618" max="4618" width="21.7109375" style="2" customWidth="1"/>
    <col min="4619" max="4619" width="19.85546875" style="2" customWidth="1"/>
    <col min="4620" max="4620" width="34.140625" style="2" customWidth="1"/>
    <col min="4621" max="4621" width="17" style="2" customWidth="1"/>
    <col min="4622" max="4622" width="36.42578125" style="2" customWidth="1"/>
    <col min="4623" max="4623" width="26.5703125" style="2" customWidth="1"/>
    <col min="4624" max="4626" width="30.42578125" style="2" customWidth="1"/>
    <col min="4627" max="4676" width="0" style="2" hidden="1" customWidth="1"/>
    <col min="4677" max="4864" width="11.42578125" style="2"/>
    <col min="4865" max="4865" width="41.28515625" style="2" customWidth="1"/>
    <col min="4866" max="4867" width="40.42578125" style="2" customWidth="1"/>
    <col min="4868" max="4868" width="27" style="2" customWidth="1"/>
    <col min="4869" max="4869" width="19" style="2" customWidth="1"/>
    <col min="4870" max="4870" width="26.7109375" style="2" customWidth="1"/>
    <col min="4871" max="4871" width="31.5703125" style="2" customWidth="1"/>
    <col min="4872" max="4872" width="17.7109375" style="2" customWidth="1"/>
    <col min="4873" max="4873" width="18.5703125" style="2" customWidth="1"/>
    <col min="4874" max="4874" width="21.7109375" style="2" customWidth="1"/>
    <col min="4875" max="4875" width="19.85546875" style="2" customWidth="1"/>
    <col min="4876" max="4876" width="34.140625" style="2" customWidth="1"/>
    <col min="4877" max="4877" width="17" style="2" customWidth="1"/>
    <col min="4878" max="4878" width="36.42578125" style="2" customWidth="1"/>
    <col min="4879" max="4879" width="26.5703125" style="2" customWidth="1"/>
    <col min="4880" max="4882" width="30.42578125" style="2" customWidth="1"/>
    <col min="4883" max="4932" width="0" style="2" hidden="1" customWidth="1"/>
    <col min="4933" max="5120" width="11.42578125" style="2"/>
    <col min="5121" max="5121" width="41.28515625" style="2" customWidth="1"/>
    <col min="5122" max="5123" width="40.42578125" style="2" customWidth="1"/>
    <col min="5124" max="5124" width="27" style="2" customWidth="1"/>
    <col min="5125" max="5125" width="19" style="2" customWidth="1"/>
    <col min="5126" max="5126" width="26.7109375" style="2" customWidth="1"/>
    <col min="5127" max="5127" width="31.5703125" style="2" customWidth="1"/>
    <col min="5128" max="5128" width="17.7109375" style="2" customWidth="1"/>
    <col min="5129" max="5129" width="18.5703125" style="2" customWidth="1"/>
    <col min="5130" max="5130" width="21.7109375" style="2" customWidth="1"/>
    <col min="5131" max="5131" width="19.85546875" style="2" customWidth="1"/>
    <col min="5132" max="5132" width="34.140625" style="2" customWidth="1"/>
    <col min="5133" max="5133" width="17" style="2" customWidth="1"/>
    <col min="5134" max="5134" width="36.42578125" style="2" customWidth="1"/>
    <col min="5135" max="5135" width="26.5703125" style="2" customWidth="1"/>
    <col min="5136" max="5138" width="30.42578125" style="2" customWidth="1"/>
    <col min="5139" max="5188" width="0" style="2" hidden="1" customWidth="1"/>
    <col min="5189" max="5376" width="11.42578125" style="2"/>
    <col min="5377" max="5377" width="41.28515625" style="2" customWidth="1"/>
    <col min="5378" max="5379" width="40.42578125" style="2" customWidth="1"/>
    <col min="5380" max="5380" width="27" style="2" customWidth="1"/>
    <col min="5381" max="5381" width="19" style="2" customWidth="1"/>
    <col min="5382" max="5382" width="26.7109375" style="2" customWidth="1"/>
    <col min="5383" max="5383" width="31.5703125" style="2" customWidth="1"/>
    <col min="5384" max="5384" width="17.7109375" style="2" customWidth="1"/>
    <col min="5385" max="5385" width="18.5703125" style="2" customWidth="1"/>
    <col min="5386" max="5386" width="21.7109375" style="2" customWidth="1"/>
    <col min="5387" max="5387" width="19.85546875" style="2" customWidth="1"/>
    <col min="5388" max="5388" width="34.140625" style="2" customWidth="1"/>
    <col min="5389" max="5389" width="17" style="2" customWidth="1"/>
    <col min="5390" max="5390" width="36.42578125" style="2" customWidth="1"/>
    <col min="5391" max="5391" width="26.5703125" style="2" customWidth="1"/>
    <col min="5392" max="5394" width="30.42578125" style="2" customWidth="1"/>
    <col min="5395" max="5444" width="0" style="2" hidden="1" customWidth="1"/>
    <col min="5445" max="5632" width="11.42578125" style="2"/>
    <col min="5633" max="5633" width="41.28515625" style="2" customWidth="1"/>
    <col min="5634" max="5635" width="40.42578125" style="2" customWidth="1"/>
    <col min="5636" max="5636" width="27" style="2" customWidth="1"/>
    <col min="5637" max="5637" width="19" style="2" customWidth="1"/>
    <col min="5638" max="5638" width="26.7109375" style="2" customWidth="1"/>
    <col min="5639" max="5639" width="31.5703125" style="2" customWidth="1"/>
    <col min="5640" max="5640" width="17.7109375" style="2" customWidth="1"/>
    <col min="5641" max="5641" width="18.5703125" style="2" customWidth="1"/>
    <col min="5642" max="5642" width="21.7109375" style="2" customWidth="1"/>
    <col min="5643" max="5643" width="19.85546875" style="2" customWidth="1"/>
    <col min="5644" max="5644" width="34.140625" style="2" customWidth="1"/>
    <col min="5645" max="5645" width="17" style="2" customWidth="1"/>
    <col min="5646" max="5646" width="36.42578125" style="2" customWidth="1"/>
    <col min="5647" max="5647" width="26.5703125" style="2" customWidth="1"/>
    <col min="5648" max="5650" width="30.42578125" style="2" customWidth="1"/>
    <col min="5651" max="5700" width="0" style="2" hidden="1" customWidth="1"/>
    <col min="5701" max="5888" width="11.42578125" style="2"/>
    <col min="5889" max="5889" width="41.28515625" style="2" customWidth="1"/>
    <col min="5890" max="5891" width="40.42578125" style="2" customWidth="1"/>
    <col min="5892" max="5892" width="27" style="2" customWidth="1"/>
    <col min="5893" max="5893" width="19" style="2" customWidth="1"/>
    <col min="5894" max="5894" width="26.7109375" style="2" customWidth="1"/>
    <col min="5895" max="5895" width="31.5703125" style="2" customWidth="1"/>
    <col min="5896" max="5896" width="17.7109375" style="2" customWidth="1"/>
    <col min="5897" max="5897" width="18.5703125" style="2" customWidth="1"/>
    <col min="5898" max="5898" width="21.7109375" style="2" customWidth="1"/>
    <col min="5899" max="5899" width="19.85546875" style="2" customWidth="1"/>
    <col min="5900" max="5900" width="34.140625" style="2" customWidth="1"/>
    <col min="5901" max="5901" width="17" style="2" customWidth="1"/>
    <col min="5902" max="5902" width="36.42578125" style="2" customWidth="1"/>
    <col min="5903" max="5903" width="26.5703125" style="2" customWidth="1"/>
    <col min="5904" max="5906" width="30.42578125" style="2" customWidth="1"/>
    <col min="5907" max="5956" width="0" style="2" hidden="1" customWidth="1"/>
    <col min="5957" max="6144" width="11.42578125" style="2"/>
    <col min="6145" max="6145" width="41.28515625" style="2" customWidth="1"/>
    <col min="6146" max="6147" width="40.42578125" style="2" customWidth="1"/>
    <col min="6148" max="6148" width="27" style="2" customWidth="1"/>
    <col min="6149" max="6149" width="19" style="2" customWidth="1"/>
    <col min="6150" max="6150" width="26.7109375" style="2" customWidth="1"/>
    <col min="6151" max="6151" width="31.5703125" style="2" customWidth="1"/>
    <col min="6152" max="6152" width="17.7109375" style="2" customWidth="1"/>
    <col min="6153" max="6153" width="18.5703125" style="2" customWidth="1"/>
    <col min="6154" max="6154" width="21.7109375" style="2" customWidth="1"/>
    <col min="6155" max="6155" width="19.85546875" style="2" customWidth="1"/>
    <col min="6156" max="6156" width="34.140625" style="2" customWidth="1"/>
    <col min="6157" max="6157" width="17" style="2" customWidth="1"/>
    <col min="6158" max="6158" width="36.42578125" style="2" customWidth="1"/>
    <col min="6159" max="6159" width="26.5703125" style="2" customWidth="1"/>
    <col min="6160" max="6162" width="30.42578125" style="2" customWidth="1"/>
    <col min="6163" max="6212" width="0" style="2" hidden="1" customWidth="1"/>
    <col min="6213" max="6400" width="11.42578125" style="2"/>
    <col min="6401" max="6401" width="41.28515625" style="2" customWidth="1"/>
    <col min="6402" max="6403" width="40.42578125" style="2" customWidth="1"/>
    <col min="6404" max="6404" width="27" style="2" customWidth="1"/>
    <col min="6405" max="6405" width="19" style="2" customWidth="1"/>
    <col min="6406" max="6406" width="26.7109375" style="2" customWidth="1"/>
    <col min="6407" max="6407" width="31.5703125" style="2" customWidth="1"/>
    <col min="6408" max="6408" width="17.7109375" style="2" customWidth="1"/>
    <col min="6409" max="6409" width="18.5703125" style="2" customWidth="1"/>
    <col min="6410" max="6410" width="21.7109375" style="2" customWidth="1"/>
    <col min="6411" max="6411" width="19.85546875" style="2" customWidth="1"/>
    <col min="6412" max="6412" width="34.140625" style="2" customWidth="1"/>
    <col min="6413" max="6413" width="17" style="2" customWidth="1"/>
    <col min="6414" max="6414" width="36.42578125" style="2" customWidth="1"/>
    <col min="6415" max="6415" width="26.5703125" style="2" customWidth="1"/>
    <col min="6416" max="6418" width="30.42578125" style="2" customWidth="1"/>
    <col min="6419" max="6468" width="0" style="2" hidden="1" customWidth="1"/>
    <col min="6469" max="6656" width="11.42578125" style="2"/>
    <col min="6657" max="6657" width="41.28515625" style="2" customWidth="1"/>
    <col min="6658" max="6659" width="40.42578125" style="2" customWidth="1"/>
    <col min="6660" max="6660" width="27" style="2" customWidth="1"/>
    <col min="6661" max="6661" width="19" style="2" customWidth="1"/>
    <col min="6662" max="6662" width="26.7109375" style="2" customWidth="1"/>
    <col min="6663" max="6663" width="31.5703125" style="2" customWidth="1"/>
    <col min="6664" max="6664" width="17.7109375" style="2" customWidth="1"/>
    <col min="6665" max="6665" width="18.5703125" style="2" customWidth="1"/>
    <col min="6666" max="6666" width="21.7109375" style="2" customWidth="1"/>
    <col min="6667" max="6667" width="19.85546875" style="2" customWidth="1"/>
    <col min="6668" max="6668" width="34.140625" style="2" customWidth="1"/>
    <col min="6669" max="6669" width="17" style="2" customWidth="1"/>
    <col min="6670" max="6670" width="36.42578125" style="2" customWidth="1"/>
    <col min="6671" max="6671" width="26.5703125" style="2" customWidth="1"/>
    <col min="6672" max="6674" width="30.42578125" style="2" customWidth="1"/>
    <col min="6675" max="6724" width="0" style="2" hidden="1" customWidth="1"/>
    <col min="6725" max="6912" width="11.42578125" style="2"/>
    <col min="6913" max="6913" width="41.28515625" style="2" customWidth="1"/>
    <col min="6914" max="6915" width="40.42578125" style="2" customWidth="1"/>
    <col min="6916" max="6916" width="27" style="2" customWidth="1"/>
    <col min="6917" max="6917" width="19" style="2" customWidth="1"/>
    <col min="6918" max="6918" width="26.7109375" style="2" customWidth="1"/>
    <col min="6919" max="6919" width="31.5703125" style="2" customWidth="1"/>
    <col min="6920" max="6920" width="17.7109375" style="2" customWidth="1"/>
    <col min="6921" max="6921" width="18.5703125" style="2" customWidth="1"/>
    <col min="6922" max="6922" width="21.7109375" style="2" customWidth="1"/>
    <col min="6923" max="6923" width="19.85546875" style="2" customWidth="1"/>
    <col min="6924" max="6924" width="34.140625" style="2" customWidth="1"/>
    <col min="6925" max="6925" width="17" style="2" customWidth="1"/>
    <col min="6926" max="6926" width="36.42578125" style="2" customWidth="1"/>
    <col min="6927" max="6927" width="26.5703125" style="2" customWidth="1"/>
    <col min="6928" max="6930" width="30.42578125" style="2" customWidth="1"/>
    <col min="6931" max="6980" width="0" style="2" hidden="1" customWidth="1"/>
    <col min="6981" max="7168" width="11.42578125" style="2"/>
    <col min="7169" max="7169" width="41.28515625" style="2" customWidth="1"/>
    <col min="7170" max="7171" width="40.42578125" style="2" customWidth="1"/>
    <col min="7172" max="7172" width="27" style="2" customWidth="1"/>
    <col min="7173" max="7173" width="19" style="2" customWidth="1"/>
    <col min="7174" max="7174" width="26.7109375" style="2" customWidth="1"/>
    <col min="7175" max="7175" width="31.5703125" style="2" customWidth="1"/>
    <col min="7176" max="7176" width="17.7109375" style="2" customWidth="1"/>
    <col min="7177" max="7177" width="18.5703125" style="2" customWidth="1"/>
    <col min="7178" max="7178" width="21.7109375" style="2" customWidth="1"/>
    <col min="7179" max="7179" width="19.85546875" style="2" customWidth="1"/>
    <col min="7180" max="7180" width="34.140625" style="2" customWidth="1"/>
    <col min="7181" max="7181" width="17" style="2" customWidth="1"/>
    <col min="7182" max="7182" width="36.42578125" style="2" customWidth="1"/>
    <col min="7183" max="7183" width="26.5703125" style="2" customWidth="1"/>
    <col min="7184" max="7186" width="30.42578125" style="2" customWidth="1"/>
    <col min="7187" max="7236" width="0" style="2" hidden="1" customWidth="1"/>
    <col min="7237" max="7424" width="11.42578125" style="2"/>
    <col min="7425" max="7425" width="41.28515625" style="2" customWidth="1"/>
    <col min="7426" max="7427" width="40.42578125" style="2" customWidth="1"/>
    <col min="7428" max="7428" width="27" style="2" customWidth="1"/>
    <col min="7429" max="7429" width="19" style="2" customWidth="1"/>
    <col min="7430" max="7430" width="26.7109375" style="2" customWidth="1"/>
    <col min="7431" max="7431" width="31.5703125" style="2" customWidth="1"/>
    <col min="7432" max="7432" width="17.7109375" style="2" customWidth="1"/>
    <col min="7433" max="7433" width="18.5703125" style="2" customWidth="1"/>
    <col min="7434" max="7434" width="21.7109375" style="2" customWidth="1"/>
    <col min="7435" max="7435" width="19.85546875" style="2" customWidth="1"/>
    <col min="7436" max="7436" width="34.140625" style="2" customWidth="1"/>
    <col min="7437" max="7437" width="17" style="2" customWidth="1"/>
    <col min="7438" max="7438" width="36.42578125" style="2" customWidth="1"/>
    <col min="7439" max="7439" width="26.5703125" style="2" customWidth="1"/>
    <col min="7440" max="7442" width="30.42578125" style="2" customWidth="1"/>
    <col min="7443" max="7492" width="0" style="2" hidden="1" customWidth="1"/>
    <col min="7493" max="7680" width="11.42578125" style="2"/>
    <col min="7681" max="7681" width="41.28515625" style="2" customWidth="1"/>
    <col min="7682" max="7683" width="40.42578125" style="2" customWidth="1"/>
    <col min="7684" max="7684" width="27" style="2" customWidth="1"/>
    <col min="7685" max="7685" width="19" style="2" customWidth="1"/>
    <col min="7686" max="7686" width="26.7109375" style="2" customWidth="1"/>
    <col min="7687" max="7687" width="31.5703125" style="2" customWidth="1"/>
    <col min="7688" max="7688" width="17.7109375" style="2" customWidth="1"/>
    <col min="7689" max="7689" width="18.5703125" style="2" customWidth="1"/>
    <col min="7690" max="7690" width="21.7109375" style="2" customWidth="1"/>
    <col min="7691" max="7691" width="19.85546875" style="2" customWidth="1"/>
    <col min="7692" max="7692" width="34.140625" style="2" customWidth="1"/>
    <col min="7693" max="7693" width="17" style="2" customWidth="1"/>
    <col min="7694" max="7694" width="36.42578125" style="2" customWidth="1"/>
    <col min="7695" max="7695" width="26.5703125" style="2" customWidth="1"/>
    <col min="7696" max="7698" width="30.42578125" style="2" customWidth="1"/>
    <col min="7699" max="7748" width="0" style="2" hidden="1" customWidth="1"/>
    <col min="7749" max="7936" width="11.42578125" style="2"/>
    <col min="7937" max="7937" width="41.28515625" style="2" customWidth="1"/>
    <col min="7938" max="7939" width="40.42578125" style="2" customWidth="1"/>
    <col min="7940" max="7940" width="27" style="2" customWidth="1"/>
    <col min="7941" max="7941" width="19" style="2" customWidth="1"/>
    <col min="7942" max="7942" width="26.7109375" style="2" customWidth="1"/>
    <col min="7943" max="7943" width="31.5703125" style="2" customWidth="1"/>
    <col min="7944" max="7944" width="17.7109375" style="2" customWidth="1"/>
    <col min="7945" max="7945" width="18.5703125" style="2" customWidth="1"/>
    <col min="7946" max="7946" width="21.7109375" style="2" customWidth="1"/>
    <col min="7947" max="7947" width="19.85546875" style="2" customWidth="1"/>
    <col min="7948" max="7948" width="34.140625" style="2" customWidth="1"/>
    <col min="7949" max="7949" width="17" style="2" customWidth="1"/>
    <col min="7950" max="7950" width="36.42578125" style="2" customWidth="1"/>
    <col min="7951" max="7951" width="26.5703125" style="2" customWidth="1"/>
    <col min="7952" max="7954" width="30.42578125" style="2" customWidth="1"/>
    <col min="7955" max="8004" width="0" style="2" hidden="1" customWidth="1"/>
    <col min="8005" max="8192" width="11.42578125" style="2"/>
    <col min="8193" max="8193" width="41.28515625" style="2" customWidth="1"/>
    <col min="8194" max="8195" width="40.42578125" style="2" customWidth="1"/>
    <col min="8196" max="8196" width="27" style="2" customWidth="1"/>
    <col min="8197" max="8197" width="19" style="2" customWidth="1"/>
    <col min="8198" max="8198" width="26.7109375" style="2" customWidth="1"/>
    <col min="8199" max="8199" width="31.5703125" style="2" customWidth="1"/>
    <col min="8200" max="8200" width="17.7109375" style="2" customWidth="1"/>
    <col min="8201" max="8201" width="18.5703125" style="2" customWidth="1"/>
    <col min="8202" max="8202" width="21.7109375" style="2" customWidth="1"/>
    <col min="8203" max="8203" width="19.85546875" style="2" customWidth="1"/>
    <col min="8204" max="8204" width="34.140625" style="2" customWidth="1"/>
    <col min="8205" max="8205" width="17" style="2" customWidth="1"/>
    <col min="8206" max="8206" width="36.42578125" style="2" customWidth="1"/>
    <col min="8207" max="8207" width="26.5703125" style="2" customWidth="1"/>
    <col min="8208" max="8210" width="30.42578125" style="2" customWidth="1"/>
    <col min="8211" max="8260" width="0" style="2" hidden="1" customWidth="1"/>
    <col min="8261" max="8448" width="11.42578125" style="2"/>
    <col min="8449" max="8449" width="41.28515625" style="2" customWidth="1"/>
    <col min="8450" max="8451" width="40.42578125" style="2" customWidth="1"/>
    <col min="8452" max="8452" width="27" style="2" customWidth="1"/>
    <col min="8453" max="8453" width="19" style="2" customWidth="1"/>
    <col min="8454" max="8454" width="26.7109375" style="2" customWidth="1"/>
    <col min="8455" max="8455" width="31.5703125" style="2" customWidth="1"/>
    <col min="8456" max="8456" width="17.7109375" style="2" customWidth="1"/>
    <col min="8457" max="8457" width="18.5703125" style="2" customWidth="1"/>
    <col min="8458" max="8458" width="21.7109375" style="2" customWidth="1"/>
    <col min="8459" max="8459" width="19.85546875" style="2" customWidth="1"/>
    <col min="8460" max="8460" width="34.140625" style="2" customWidth="1"/>
    <col min="8461" max="8461" width="17" style="2" customWidth="1"/>
    <col min="8462" max="8462" width="36.42578125" style="2" customWidth="1"/>
    <col min="8463" max="8463" width="26.5703125" style="2" customWidth="1"/>
    <col min="8464" max="8466" width="30.42578125" style="2" customWidth="1"/>
    <col min="8467" max="8516" width="0" style="2" hidden="1" customWidth="1"/>
    <col min="8517" max="8704" width="11.42578125" style="2"/>
    <col min="8705" max="8705" width="41.28515625" style="2" customWidth="1"/>
    <col min="8706" max="8707" width="40.42578125" style="2" customWidth="1"/>
    <col min="8708" max="8708" width="27" style="2" customWidth="1"/>
    <col min="8709" max="8709" width="19" style="2" customWidth="1"/>
    <col min="8710" max="8710" width="26.7109375" style="2" customWidth="1"/>
    <col min="8711" max="8711" width="31.5703125" style="2" customWidth="1"/>
    <col min="8712" max="8712" width="17.7109375" style="2" customWidth="1"/>
    <col min="8713" max="8713" width="18.5703125" style="2" customWidth="1"/>
    <col min="8714" max="8714" width="21.7109375" style="2" customWidth="1"/>
    <col min="8715" max="8715" width="19.85546875" style="2" customWidth="1"/>
    <col min="8716" max="8716" width="34.140625" style="2" customWidth="1"/>
    <col min="8717" max="8717" width="17" style="2" customWidth="1"/>
    <col min="8718" max="8718" width="36.42578125" style="2" customWidth="1"/>
    <col min="8719" max="8719" width="26.5703125" style="2" customWidth="1"/>
    <col min="8720" max="8722" width="30.42578125" style="2" customWidth="1"/>
    <col min="8723" max="8772" width="0" style="2" hidden="1" customWidth="1"/>
    <col min="8773" max="8960" width="11.42578125" style="2"/>
    <col min="8961" max="8961" width="41.28515625" style="2" customWidth="1"/>
    <col min="8962" max="8963" width="40.42578125" style="2" customWidth="1"/>
    <col min="8964" max="8964" width="27" style="2" customWidth="1"/>
    <col min="8965" max="8965" width="19" style="2" customWidth="1"/>
    <col min="8966" max="8966" width="26.7109375" style="2" customWidth="1"/>
    <col min="8967" max="8967" width="31.5703125" style="2" customWidth="1"/>
    <col min="8968" max="8968" width="17.7109375" style="2" customWidth="1"/>
    <col min="8969" max="8969" width="18.5703125" style="2" customWidth="1"/>
    <col min="8970" max="8970" width="21.7109375" style="2" customWidth="1"/>
    <col min="8971" max="8971" width="19.85546875" style="2" customWidth="1"/>
    <col min="8972" max="8972" width="34.140625" style="2" customWidth="1"/>
    <col min="8973" max="8973" width="17" style="2" customWidth="1"/>
    <col min="8974" max="8974" width="36.42578125" style="2" customWidth="1"/>
    <col min="8975" max="8975" width="26.5703125" style="2" customWidth="1"/>
    <col min="8976" max="8978" width="30.42578125" style="2" customWidth="1"/>
    <col min="8979" max="9028" width="0" style="2" hidden="1" customWidth="1"/>
    <col min="9029" max="9216" width="11.42578125" style="2"/>
    <col min="9217" max="9217" width="41.28515625" style="2" customWidth="1"/>
    <col min="9218" max="9219" width="40.42578125" style="2" customWidth="1"/>
    <col min="9220" max="9220" width="27" style="2" customWidth="1"/>
    <col min="9221" max="9221" width="19" style="2" customWidth="1"/>
    <col min="9222" max="9222" width="26.7109375" style="2" customWidth="1"/>
    <col min="9223" max="9223" width="31.5703125" style="2" customWidth="1"/>
    <col min="9224" max="9224" width="17.7109375" style="2" customWidth="1"/>
    <col min="9225" max="9225" width="18.5703125" style="2" customWidth="1"/>
    <col min="9226" max="9226" width="21.7109375" style="2" customWidth="1"/>
    <col min="9227" max="9227" width="19.85546875" style="2" customWidth="1"/>
    <col min="9228" max="9228" width="34.140625" style="2" customWidth="1"/>
    <col min="9229" max="9229" width="17" style="2" customWidth="1"/>
    <col min="9230" max="9230" width="36.42578125" style="2" customWidth="1"/>
    <col min="9231" max="9231" width="26.5703125" style="2" customWidth="1"/>
    <col min="9232" max="9234" width="30.42578125" style="2" customWidth="1"/>
    <col min="9235" max="9284" width="0" style="2" hidden="1" customWidth="1"/>
    <col min="9285" max="9472" width="11.42578125" style="2"/>
    <col min="9473" max="9473" width="41.28515625" style="2" customWidth="1"/>
    <col min="9474" max="9475" width="40.42578125" style="2" customWidth="1"/>
    <col min="9476" max="9476" width="27" style="2" customWidth="1"/>
    <col min="9477" max="9477" width="19" style="2" customWidth="1"/>
    <col min="9478" max="9478" width="26.7109375" style="2" customWidth="1"/>
    <col min="9479" max="9479" width="31.5703125" style="2" customWidth="1"/>
    <col min="9480" max="9480" width="17.7109375" style="2" customWidth="1"/>
    <col min="9481" max="9481" width="18.5703125" style="2" customWidth="1"/>
    <col min="9482" max="9482" width="21.7109375" style="2" customWidth="1"/>
    <col min="9483" max="9483" width="19.85546875" style="2" customWidth="1"/>
    <col min="9484" max="9484" width="34.140625" style="2" customWidth="1"/>
    <col min="9485" max="9485" width="17" style="2" customWidth="1"/>
    <col min="9486" max="9486" width="36.42578125" style="2" customWidth="1"/>
    <col min="9487" max="9487" width="26.5703125" style="2" customWidth="1"/>
    <col min="9488" max="9490" width="30.42578125" style="2" customWidth="1"/>
    <col min="9491" max="9540" width="0" style="2" hidden="1" customWidth="1"/>
    <col min="9541" max="9728" width="11.42578125" style="2"/>
    <col min="9729" max="9729" width="41.28515625" style="2" customWidth="1"/>
    <col min="9730" max="9731" width="40.42578125" style="2" customWidth="1"/>
    <col min="9732" max="9732" width="27" style="2" customWidth="1"/>
    <col min="9733" max="9733" width="19" style="2" customWidth="1"/>
    <col min="9734" max="9734" width="26.7109375" style="2" customWidth="1"/>
    <col min="9735" max="9735" width="31.5703125" style="2" customWidth="1"/>
    <col min="9736" max="9736" width="17.7109375" style="2" customWidth="1"/>
    <col min="9737" max="9737" width="18.5703125" style="2" customWidth="1"/>
    <col min="9738" max="9738" width="21.7109375" style="2" customWidth="1"/>
    <col min="9739" max="9739" width="19.85546875" style="2" customWidth="1"/>
    <col min="9740" max="9740" width="34.140625" style="2" customWidth="1"/>
    <col min="9741" max="9741" width="17" style="2" customWidth="1"/>
    <col min="9742" max="9742" width="36.42578125" style="2" customWidth="1"/>
    <col min="9743" max="9743" width="26.5703125" style="2" customWidth="1"/>
    <col min="9744" max="9746" width="30.42578125" style="2" customWidth="1"/>
    <col min="9747" max="9796" width="0" style="2" hidden="1" customWidth="1"/>
    <col min="9797" max="9984" width="11.42578125" style="2"/>
    <col min="9985" max="9985" width="41.28515625" style="2" customWidth="1"/>
    <col min="9986" max="9987" width="40.42578125" style="2" customWidth="1"/>
    <col min="9988" max="9988" width="27" style="2" customWidth="1"/>
    <col min="9989" max="9989" width="19" style="2" customWidth="1"/>
    <col min="9990" max="9990" width="26.7109375" style="2" customWidth="1"/>
    <col min="9991" max="9991" width="31.5703125" style="2" customWidth="1"/>
    <col min="9992" max="9992" width="17.7109375" style="2" customWidth="1"/>
    <col min="9993" max="9993" width="18.5703125" style="2" customWidth="1"/>
    <col min="9994" max="9994" width="21.7109375" style="2" customWidth="1"/>
    <col min="9995" max="9995" width="19.85546875" style="2" customWidth="1"/>
    <col min="9996" max="9996" width="34.140625" style="2" customWidth="1"/>
    <col min="9997" max="9997" width="17" style="2" customWidth="1"/>
    <col min="9998" max="9998" width="36.42578125" style="2" customWidth="1"/>
    <col min="9999" max="9999" width="26.5703125" style="2" customWidth="1"/>
    <col min="10000" max="10002" width="30.42578125" style="2" customWidth="1"/>
    <col min="10003" max="10052" width="0" style="2" hidden="1" customWidth="1"/>
    <col min="10053" max="10240" width="11.42578125" style="2"/>
    <col min="10241" max="10241" width="41.28515625" style="2" customWidth="1"/>
    <col min="10242" max="10243" width="40.42578125" style="2" customWidth="1"/>
    <col min="10244" max="10244" width="27" style="2" customWidth="1"/>
    <col min="10245" max="10245" width="19" style="2" customWidth="1"/>
    <col min="10246" max="10246" width="26.7109375" style="2" customWidth="1"/>
    <col min="10247" max="10247" width="31.5703125" style="2" customWidth="1"/>
    <col min="10248" max="10248" width="17.7109375" style="2" customWidth="1"/>
    <col min="10249" max="10249" width="18.5703125" style="2" customWidth="1"/>
    <col min="10250" max="10250" width="21.7109375" style="2" customWidth="1"/>
    <col min="10251" max="10251" width="19.85546875" style="2" customWidth="1"/>
    <col min="10252" max="10252" width="34.140625" style="2" customWidth="1"/>
    <col min="10253" max="10253" width="17" style="2" customWidth="1"/>
    <col min="10254" max="10254" width="36.42578125" style="2" customWidth="1"/>
    <col min="10255" max="10255" width="26.5703125" style="2" customWidth="1"/>
    <col min="10256" max="10258" width="30.42578125" style="2" customWidth="1"/>
    <col min="10259" max="10308" width="0" style="2" hidden="1" customWidth="1"/>
    <col min="10309" max="10496" width="11.42578125" style="2"/>
    <col min="10497" max="10497" width="41.28515625" style="2" customWidth="1"/>
    <col min="10498" max="10499" width="40.42578125" style="2" customWidth="1"/>
    <col min="10500" max="10500" width="27" style="2" customWidth="1"/>
    <col min="10501" max="10501" width="19" style="2" customWidth="1"/>
    <col min="10502" max="10502" width="26.7109375" style="2" customWidth="1"/>
    <col min="10503" max="10503" width="31.5703125" style="2" customWidth="1"/>
    <col min="10504" max="10504" width="17.7109375" style="2" customWidth="1"/>
    <col min="10505" max="10505" width="18.5703125" style="2" customWidth="1"/>
    <col min="10506" max="10506" width="21.7109375" style="2" customWidth="1"/>
    <col min="10507" max="10507" width="19.85546875" style="2" customWidth="1"/>
    <col min="10508" max="10508" width="34.140625" style="2" customWidth="1"/>
    <col min="10509" max="10509" width="17" style="2" customWidth="1"/>
    <col min="10510" max="10510" width="36.42578125" style="2" customWidth="1"/>
    <col min="10511" max="10511" width="26.5703125" style="2" customWidth="1"/>
    <col min="10512" max="10514" width="30.42578125" style="2" customWidth="1"/>
    <col min="10515" max="10564" width="0" style="2" hidden="1" customWidth="1"/>
    <col min="10565" max="10752" width="11.42578125" style="2"/>
    <col min="10753" max="10753" width="41.28515625" style="2" customWidth="1"/>
    <col min="10754" max="10755" width="40.42578125" style="2" customWidth="1"/>
    <col min="10756" max="10756" width="27" style="2" customWidth="1"/>
    <col min="10757" max="10757" width="19" style="2" customWidth="1"/>
    <col min="10758" max="10758" width="26.7109375" style="2" customWidth="1"/>
    <col min="10759" max="10759" width="31.5703125" style="2" customWidth="1"/>
    <col min="10760" max="10760" width="17.7109375" style="2" customWidth="1"/>
    <col min="10761" max="10761" width="18.5703125" style="2" customWidth="1"/>
    <col min="10762" max="10762" width="21.7109375" style="2" customWidth="1"/>
    <col min="10763" max="10763" width="19.85546875" style="2" customWidth="1"/>
    <col min="10764" max="10764" width="34.140625" style="2" customWidth="1"/>
    <col min="10765" max="10765" width="17" style="2" customWidth="1"/>
    <col min="10766" max="10766" width="36.42578125" style="2" customWidth="1"/>
    <col min="10767" max="10767" width="26.5703125" style="2" customWidth="1"/>
    <col min="10768" max="10770" width="30.42578125" style="2" customWidth="1"/>
    <col min="10771" max="10820" width="0" style="2" hidden="1" customWidth="1"/>
    <col min="10821" max="11008" width="11.42578125" style="2"/>
    <col min="11009" max="11009" width="41.28515625" style="2" customWidth="1"/>
    <col min="11010" max="11011" width="40.42578125" style="2" customWidth="1"/>
    <col min="11012" max="11012" width="27" style="2" customWidth="1"/>
    <col min="11013" max="11013" width="19" style="2" customWidth="1"/>
    <col min="11014" max="11014" width="26.7109375" style="2" customWidth="1"/>
    <col min="11015" max="11015" width="31.5703125" style="2" customWidth="1"/>
    <col min="11016" max="11016" width="17.7109375" style="2" customWidth="1"/>
    <col min="11017" max="11017" width="18.5703125" style="2" customWidth="1"/>
    <col min="11018" max="11018" width="21.7109375" style="2" customWidth="1"/>
    <col min="11019" max="11019" width="19.85546875" style="2" customWidth="1"/>
    <col min="11020" max="11020" width="34.140625" style="2" customWidth="1"/>
    <col min="11021" max="11021" width="17" style="2" customWidth="1"/>
    <col min="11022" max="11022" width="36.42578125" style="2" customWidth="1"/>
    <col min="11023" max="11023" width="26.5703125" style="2" customWidth="1"/>
    <col min="11024" max="11026" width="30.42578125" style="2" customWidth="1"/>
    <col min="11027" max="11076" width="0" style="2" hidden="1" customWidth="1"/>
    <col min="11077" max="11264" width="11.42578125" style="2"/>
    <col min="11265" max="11265" width="41.28515625" style="2" customWidth="1"/>
    <col min="11266" max="11267" width="40.42578125" style="2" customWidth="1"/>
    <col min="11268" max="11268" width="27" style="2" customWidth="1"/>
    <col min="11269" max="11269" width="19" style="2" customWidth="1"/>
    <col min="11270" max="11270" width="26.7109375" style="2" customWidth="1"/>
    <col min="11271" max="11271" width="31.5703125" style="2" customWidth="1"/>
    <col min="11272" max="11272" width="17.7109375" style="2" customWidth="1"/>
    <col min="11273" max="11273" width="18.5703125" style="2" customWidth="1"/>
    <col min="11274" max="11274" width="21.7109375" style="2" customWidth="1"/>
    <col min="11275" max="11275" width="19.85546875" style="2" customWidth="1"/>
    <col min="11276" max="11276" width="34.140625" style="2" customWidth="1"/>
    <col min="11277" max="11277" width="17" style="2" customWidth="1"/>
    <col min="11278" max="11278" width="36.42578125" style="2" customWidth="1"/>
    <col min="11279" max="11279" width="26.5703125" style="2" customWidth="1"/>
    <col min="11280" max="11282" width="30.42578125" style="2" customWidth="1"/>
    <col min="11283" max="11332" width="0" style="2" hidden="1" customWidth="1"/>
    <col min="11333" max="11520" width="11.42578125" style="2"/>
    <col min="11521" max="11521" width="41.28515625" style="2" customWidth="1"/>
    <col min="11522" max="11523" width="40.42578125" style="2" customWidth="1"/>
    <col min="11524" max="11524" width="27" style="2" customWidth="1"/>
    <col min="11525" max="11525" width="19" style="2" customWidth="1"/>
    <col min="11526" max="11526" width="26.7109375" style="2" customWidth="1"/>
    <col min="11527" max="11527" width="31.5703125" style="2" customWidth="1"/>
    <col min="11528" max="11528" width="17.7109375" style="2" customWidth="1"/>
    <col min="11529" max="11529" width="18.5703125" style="2" customWidth="1"/>
    <col min="11530" max="11530" width="21.7109375" style="2" customWidth="1"/>
    <col min="11531" max="11531" width="19.85546875" style="2" customWidth="1"/>
    <col min="11532" max="11532" width="34.140625" style="2" customWidth="1"/>
    <col min="11533" max="11533" width="17" style="2" customWidth="1"/>
    <col min="11534" max="11534" width="36.42578125" style="2" customWidth="1"/>
    <col min="11535" max="11535" width="26.5703125" style="2" customWidth="1"/>
    <col min="11536" max="11538" width="30.42578125" style="2" customWidth="1"/>
    <col min="11539" max="11588" width="0" style="2" hidden="1" customWidth="1"/>
    <col min="11589" max="11776" width="11.42578125" style="2"/>
    <col min="11777" max="11777" width="41.28515625" style="2" customWidth="1"/>
    <col min="11778" max="11779" width="40.42578125" style="2" customWidth="1"/>
    <col min="11780" max="11780" width="27" style="2" customWidth="1"/>
    <col min="11781" max="11781" width="19" style="2" customWidth="1"/>
    <col min="11782" max="11782" width="26.7109375" style="2" customWidth="1"/>
    <col min="11783" max="11783" width="31.5703125" style="2" customWidth="1"/>
    <col min="11784" max="11784" width="17.7109375" style="2" customWidth="1"/>
    <col min="11785" max="11785" width="18.5703125" style="2" customWidth="1"/>
    <col min="11786" max="11786" width="21.7109375" style="2" customWidth="1"/>
    <col min="11787" max="11787" width="19.85546875" style="2" customWidth="1"/>
    <col min="11788" max="11788" width="34.140625" style="2" customWidth="1"/>
    <col min="11789" max="11789" width="17" style="2" customWidth="1"/>
    <col min="11790" max="11790" width="36.42578125" style="2" customWidth="1"/>
    <col min="11791" max="11791" width="26.5703125" style="2" customWidth="1"/>
    <col min="11792" max="11794" width="30.42578125" style="2" customWidth="1"/>
    <col min="11795" max="11844" width="0" style="2" hidden="1" customWidth="1"/>
    <col min="11845" max="12032" width="11.42578125" style="2"/>
    <col min="12033" max="12033" width="41.28515625" style="2" customWidth="1"/>
    <col min="12034" max="12035" width="40.42578125" style="2" customWidth="1"/>
    <col min="12036" max="12036" width="27" style="2" customWidth="1"/>
    <col min="12037" max="12037" width="19" style="2" customWidth="1"/>
    <col min="12038" max="12038" width="26.7109375" style="2" customWidth="1"/>
    <col min="12039" max="12039" width="31.5703125" style="2" customWidth="1"/>
    <col min="12040" max="12040" width="17.7109375" style="2" customWidth="1"/>
    <col min="12041" max="12041" width="18.5703125" style="2" customWidth="1"/>
    <col min="12042" max="12042" width="21.7109375" style="2" customWidth="1"/>
    <col min="12043" max="12043" width="19.85546875" style="2" customWidth="1"/>
    <col min="12044" max="12044" width="34.140625" style="2" customWidth="1"/>
    <col min="12045" max="12045" width="17" style="2" customWidth="1"/>
    <col min="12046" max="12046" width="36.42578125" style="2" customWidth="1"/>
    <col min="12047" max="12047" width="26.5703125" style="2" customWidth="1"/>
    <col min="12048" max="12050" width="30.42578125" style="2" customWidth="1"/>
    <col min="12051" max="12100" width="0" style="2" hidden="1" customWidth="1"/>
    <col min="12101" max="12288" width="11.42578125" style="2"/>
    <col min="12289" max="12289" width="41.28515625" style="2" customWidth="1"/>
    <col min="12290" max="12291" width="40.42578125" style="2" customWidth="1"/>
    <col min="12292" max="12292" width="27" style="2" customWidth="1"/>
    <col min="12293" max="12293" width="19" style="2" customWidth="1"/>
    <col min="12294" max="12294" width="26.7109375" style="2" customWidth="1"/>
    <col min="12295" max="12295" width="31.5703125" style="2" customWidth="1"/>
    <col min="12296" max="12296" width="17.7109375" style="2" customWidth="1"/>
    <col min="12297" max="12297" width="18.5703125" style="2" customWidth="1"/>
    <col min="12298" max="12298" width="21.7109375" style="2" customWidth="1"/>
    <col min="12299" max="12299" width="19.85546875" style="2" customWidth="1"/>
    <col min="12300" max="12300" width="34.140625" style="2" customWidth="1"/>
    <col min="12301" max="12301" width="17" style="2" customWidth="1"/>
    <col min="12302" max="12302" width="36.42578125" style="2" customWidth="1"/>
    <col min="12303" max="12303" width="26.5703125" style="2" customWidth="1"/>
    <col min="12304" max="12306" width="30.42578125" style="2" customWidth="1"/>
    <col min="12307" max="12356" width="0" style="2" hidden="1" customWidth="1"/>
    <col min="12357" max="12544" width="11.42578125" style="2"/>
    <col min="12545" max="12545" width="41.28515625" style="2" customWidth="1"/>
    <col min="12546" max="12547" width="40.42578125" style="2" customWidth="1"/>
    <col min="12548" max="12548" width="27" style="2" customWidth="1"/>
    <col min="12549" max="12549" width="19" style="2" customWidth="1"/>
    <col min="12550" max="12550" width="26.7109375" style="2" customWidth="1"/>
    <col min="12551" max="12551" width="31.5703125" style="2" customWidth="1"/>
    <col min="12552" max="12552" width="17.7109375" style="2" customWidth="1"/>
    <col min="12553" max="12553" width="18.5703125" style="2" customWidth="1"/>
    <col min="12554" max="12554" width="21.7109375" style="2" customWidth="1"/>
    <col min="12555" max="12555" width="19.85546875" style="2" customWidth="1"/>
    <col min="12556" max="12556" width="34.140625" style="2" customWidth="1"/>
    <col min="12557" max="12557" width="17" style="2" customWidth="1"/>
    <col min="12558" max="12558" width="36.42578125" style="2" customWidth="1"/>
    <col min="12559" max="12559" width="26.5703125" style="2" customWidth="1"/>
    <col min="12560" max="12562" width="30.42578125" style="2" customWidth="1"/>
    <col min="12563" max="12612" width="0" style="2" hidden="1" customWidth="1"/>
    <col min="12613" max="12800" width="11.42578125" style="2"/>
    <col min="12801" max="12801" width="41.28515625" style="2" customWidth="1"/>
    <col min="12802" max="12803" width="40.42578125" style="2" customWidth="1"/>
    <col min="12804" max="12804" width="27" style="2" customWidth="1"/>
    <col min="12805" max="12805" width="19" style="2" customWidth="1"/>
    <col min="12806" max="12806" width="26.7109375" style="2" customWidth="1"/>
    <col min="12807" max="12807" width="31.5703125" style="2" customWidth="1"/>
    <col min="12808" max="12808" width="17.7109375" style="2" customWidth="1"/>
    <col min="12809" max="12809" width="18.5703125" style="2" customWidth="1"/>
    <col min="12810" max="12810" width="21.7109375" style="2" customWidth="1"/>
    <col min="12811" max="12811" width="19.85546875" style="2" customWidth="1"/>
    <col min="12812" max="12812" width="34.140625" style="2" customWidth="1"/>
    <col min="12813" max="12813" width="17" style="2" customWidth="1"/>
    <col min="12814" max="12814" width="36.42578125" style="2" customWidth="1"/>
    <col min="12815" max="12815" width="26.5703125" style="2" customWidth="1"/>
    <col min="12816" max="12818" width="30.42578125" style="2" customWidth="1"/>
    <col min="12819" max="12868" width="0" style="2" hidden="1" customWidth="1"/>
    <col min="12869" max="13056" width="11.42578125" style="2"/>
    <col min="13057" max="13057" width="41.28515625" style="2" customWidth="1"/>
    <col min="13058" max="13059" width="40.42578125" style="2" customWidth="1"/>
    <col min="13060" max="13060" width="27" style="2" customWidth="1"/>
    <col min="13061" max="13061" width="19" style="2" customWidth="1"/>
    <col min="13062" max="13062" width="26.7109375" style="2" customWidth="1"/>
    <col min="13063" max="13063" width="31.5703125" style="2" customWidth="1"/>
    <col min="13064" max="13064" width="17.7109375" style="2" customWidth="1"/>
    <col min="13065" max="13065" width="18.5703125" style="2" customWidth="1"/>
    <col min="13066" max="13066" width="21.7109375" style="2" customWidth="1"/>
    <col min="13067" max="13067" width="19.85546875" style="2" customWidth="1"/>
    <col min="13068" max="13068" width="34.140625" style="2" customWidth="1"/>
    <col min="13069" max="13069" width="17" style="2" customWidth="1"/>
    <col min="13070" max="13070" width="36.42578125" style="2" customWidth="1"/>
    <col min="13071" max="13071" width="26.5703125" style="2" customWidth="1"/>
    <col min="13072" max="13074" width="30.42578125" style="2" customWidth="1"/>
    <col min="13075" max="13124" width="0" style="2" hidden="1" customWidth="1"/>
    <col min="13125" max="13312" width="11.42578125" style="2"/>
    <col min="13313" max="13313" width="41.28515625" style="2" customWidth="1"/>
    <col min="13314" max="13315" width="40.42578125" style="2" customWidth="1"/>
    <col min="13316" max="13316" width="27" style="2" customWidth="1"/>
    <col min="13317" max="13317" width="19" style="2" customWidth="1"/>
    <col min="13318" max="13318" width="26.7109375" style="2" customWidth="1"/>
    <col min="13319" max="13319" width="31.5703125" style="2" customWidth="1"/>
    <col min="13320" max="13320" width="17.7109375" style="2" customWidth="1"/>
    <col min="13321" max="13321" width="18.5703125" style="2" customWidth="1"/>
    <col min="13322" max="13322" width="21.7109375" style="2" customWidth="1"/>
    <col min="13323" max="13323" width="19.85546875" style="2" customWidth="1"/>
    <col min="13324" max="13324" width="34.140625" style="2" customWidth="1"/>
    <col min="13325" max="13325" width="17" style="2" customWidth="1"/>
    <col min="13326" max="13326" width="36.42578125" style="2" customWidth="1"/>
    <col min="13327" max="13327" width="26.5703125" style="2" customWidth="1"/>
    <col min="13328" max="13330" width="30.42578125" style="2" customWidth="1"/>
    <col min="13331" max="13380" width="0" style="2" hidden="1" customWidth="1"/>
    <col min="13381" max="13568" width="11.42578125" style="2"/>
    <col min="13569" max="13569" width="41.28515625" style="2" customWidth="1"/>
    <col min="13570" max="13571" width="40.42578125" style="2" customWidth="1"/>
    <col min="13572" max="13572" width="27" style="2" customWidth="1"/>
    <col min="13573" max="13573" width="19" style="2" customWidth="1"/>
    <col min="13574" max="13574" width="26.7109375" style="2" customWidth="1"/>
    <col min="13575" max="13575" width="31.5703125" style="2" customWidth="1"/>
    <col min="13576" max="13576" width="17.7109375" style="2" customWidth="1"/>
    <col min="13577" max="13577" width="18.5703125" style="2" customWidth="1"/>
    <col min="13578" max="13578" width="21.7109375" style="2" customWidth="1"/>
    <col min="13579" max="13579" width="19.85546875" style="2" customWidth="1"/>
    <col min="13580" max="13580" width="34.140625" style="2" customWidth="1"/>
    <col min="13581" max="13581" width="17" style="2" customWidth="1"/>
    <col min="13582" max="13582" width="36.42578125" style="2" customWidth="1"/>
    <col min="13583" max="13583" width="26.5703125" style="2" customWidth="1"/>
    <col min="13584" max="13586" width="30.42578125" style="2" customWidth="1"/>
    <col min="13587" max="13636" width="0" style="2" hidden="1" customWidth="1"/>
    <col min="13637" max="13824" width="11.42578125" style="2"/>
    <col min="13825" max="13825" width="41.28515625" style="2" customWidth="1"/>
    <col min="13826" max="13827" width="40.42578125" style="2" customWidth="1"/>
    <col min="13828" max="13828" width="27" style="2" customWidth="1"/>
    <col min="13829" max="13829" width="19" style="2" customWidth="1"/>
    <col min="13830" max="13830" width="26.7109375" style="2" customWidth="1"/>
    <col min="13831" max="13831" width="31.5703125" style="2" customWidth="1"/>
    <col min="13832" max="13832" width="17.7109375" style="2" customWidth="1"/>
    <col min="13833" max="13833" width="18.5703125" style="2" customWidth="1"/>
    <col min="13834" max="13834" width="21.7109375" style="2" customWidth="1"/>
    <col min="13835" max="13835" width="19.85546875" style="2" customWidth="1"/>
    <col min="13836" max="13836" width="34.140625" style="2" customWidth="1"/>
    <col min="13837" max="13837" width="17" style="2" customWidth="1"/>
    <col min="13838" max="13838" width="36.42578125" style="2" customWidth="1"/>
    <col min="13839" max="13839" width="26.5703125" style="2" customWidth="1"/>
    <col min="13840" max="13842" width="30.42578125" style="2" customWidth="1"/>
    <col min="13843" max="13892" width="0" style="2" hidden="1" customWidth="1"/>
    <col min="13893" max="14080" width="11.42578125" style="2"/>
    <col min="14081" max="14081" width="41.28515625" style="2" customWidth="1"/>
    <col min="14082" max="14083" width="40.42578125" style="2" customWidth="1"/>
    <col min="14084" max="14084" width="27" style="2" customWidth="1"/>
    <col min="14085" max="14085" width="19" style="2" customWidth="1"/>
    <col min="14086" max="14086" width="26.7109375" style="2" customWidth="1"/>
    <col min="14087" max="14087" width="31.5703125" style="2" customWidth="1"/>
    <col min="14088" max="14088" width="17.7109375" style="2" customWidth="1"/>
    <col min="14089" max="14089" width="18.5703125" style="2" customWidth="1"/>
    <col min="14090" max="14090" width="21.7109375" style="2" customWidth="1"/>
    <col min="14091" max="14091" width="19.85546875" style="2" customWidth="1"/>
    <col min="14092" max="14092" width="34.140625" style="2" customWidth="1"/>
    <col min="14093" max="14093" width="17" style="2" customWidth="1"/>
    <col min="14094" max="14094" width="36.42578125" style="2" customWidth="1"/>
    <col min="14095" max="14095" width="26.5703125" style="2" customWidth="1"/>
    <col min="14096" max="14098" width="30.42578125" style="2" customWidth="1"/>
    <col min="14099" max="14148" width="0" style="2" hidden="1" customWidth="1"/>
    <col min="14149" max="14336" width="11.42578125" style="2"/>
    <col min="14337" max="14337" width="41.28515625" style="2" customWidth="1"/>
    <col min="14338" max="14339" width="40.42578125" style="2" customWidth="1"/>
    <col min="14340" max="14340" width="27" style="2" customWidth="1"/>
    <col min="14341" max="14341" width="19" style="2" customWidth="1"/>
    <col min="14342" max="14342" width="26.7109375" style="2" customWidth="1"/>
    <col min="14343" max="14343" width="31.5703125" style="2" customWidth="1"/>
    <col min="14344" max="14344" width="17.7109375" style="2" customWidth="1"/>
    <col min="14345" max="14345" width="18.5703125" style="2" customWidth="1"/>
    <col min="14346" max="14346" width="21.7109375" style="2" customWidth="1"/>
    <col min="14347" max="14347" width="19.85546875" style="2" customWidth="1"/>
    <col min="14348" max="14348" width="34.140625" style="2" customWidth="1"/>
    <col min="14349" max="14349" width="17" style="2" customWidth="1"/>
    <col min="14350" max="14350" width="36.42578125" style="2" customWidth="1"/>
    <col min="14351" max="14351" width="26.5703125" style="2" customWidth="1"/>
    <col min="14352" max="14354" width="30.42578125" style="2" customWidth="1"/>
    <col min="14355" max="14404" width="0" style="2" hidden="1" customWidth="1"/>
    <col min="14405" max="14592" width="11.42578125" style="2"/>
    <col min="14593" max="14593" width="41.28515625" style="2" customWidth="1"/>
    <col min="14594" max="14595" width="40.42578125" style="2" customWidth="1"/>
    <col min="14596" max="14596" width="27" style="2" customWidth="1"/>
    <col min="14597" max="14597" width="19" style="2" customWidth="1"/>
    <col min="14598" max="14598" width="26.7109375" style="2" customWidth="1"/>
    <col min="14599" max="14599" width="31.5703125" style="2" customWidth="1"/>
    <col min="14600" max="14600" width="17.7109375" style="2" customWidth="1"/>
    <col min="14601" max="14601" width="18.5703125" style="2" customWidth="1"/>
    <col min="14602" max="14602" width="21.7109375" style="2" customWidth="1"/>
    <col min="14603" max="14603" width="19.85546875" style="2" customWidth="1"/>
    <col min="14604" max="14604" width="34.140625" style="2" customWidth="1"/>
    <col min="14605" max="14605" width="17" style="2" customWidth="1"/>
    <col min="14606" max="14606" width="36.42578125" style="2" customWidth="1"/>
    <col min="14607" max="14607" width="26.5703125" style="2" customWidth="1"/>
    <col min="14608" max="14610" width="30.42578125" style="2" customWidth="1"/>
    <col min="14611" max="14660" width="0" style="2" hidden="1" customWidth="1"/>
    <col min="14661" max="14848" width="11.42578125" style="2"/>
    <col min="14849" max="14849" width="41.28515625" style="2" customWidth="1"/>
    <col min="14850" max="14851" width="40.42578125" style="2" customWidth="1"/>
    <col min="14852" max="14852" width="27" style="2" customWidth="1"/>
    <col min="14853" max="14853" width="19" style="2" customWidth="1"/>
    <col min="14854" max="14854" width="26.7109375" style="2" customWidth="1"/>
    <col min="14855" max="14855" width="31.5703125" style="2" customWidth="1"/>
    <col min="14856" max="14856" width="17.7109375" style="2" customWidth="1"/>
    <col min="14857" max="14857" width="18.5703125" style="2" customWidth="1"/>
    <col min="14858" max="14858" width="21.7109375" style="2" customWidth="1"/>
    <col min="14859" max="14859" width="19.85546875" style="2" customWidth="1"/>
    <col min="14860" max="14860" width="34.140625" style="2" customWidth="1"/>
    <col min="14861" max="14861" width="17" style="2" customWidth="1"/>
    <col min="14862" max="14862" width="36.42578125" style="2" customWidth="1"/>
    <col min="14863" max="14863" width="26.5703125" style="2" customWidth="1"/>
    <col min="14864" max="14866" width="30.42578125" style="2" customWidth="1"/>
    <col min="14867" max="14916" width="0" style="2" hidden="1" customWidth="1"/>
    <col min="14917" max="15104" width="11.42578125" style="2"/>
    <col min="15105" max="15105" width="41.28515625" style="2" customWidth="1"/>
    <col min="15106" max="15107" width="40.42578125" style="2" customWidth="1"/>
    <col min="15108" max="15108" width="27" style="2" customWidth="1"/>
    <col min="15109" max="15109" width="19" style="2" customWidth="1"/>
    <col min="15110" max="15110" width="26.7109375" style="2" customWidth="1"/>
    <col min="15111" max="15111" width="31.5703125" style="2" customWidth="1"/>
    <col min="15112" max="15112" width="17.7109375" style="2" customWidth="1"/>
    <col min="15113" max="15113" width="18.5703125" style="2" customWidth="1"/>
    <col min="15114" max="15114" width="21.7109375" style="2" customWidth="1"/>
    <col min="15115" max="15115" width="19.85546875" style="2" customWidth="1"/>
    <col min="15116" max="15116" width="34.140625" style="2" customWidth="1"/>
    <col min="15117" max="15117" width="17" style="2" customWidth="1"/>
    <col min="15118" max="15118" width="36.42578125" style="2" customWidth="1"/>
    <col min="15119" max="15119" width="26.5703125" style="2" customWidth="1"/>
    <col min="15120" max="15122" width="30.42578125" style="2" customWidth="1"/>
    <col min="15123" max="15172" width="0" style="2" hidden="1" customWidth="1"/>
    <col min="15173" max="15360" width="11.42578125" style="2"/>
    <col min="15361" max="15361" width="41.28515625" style="2" customWidth="1"/>
    <col min="15362" max="15363" width="40.42578125" style="2" customWidth="1"/>
    <col min="15364" max="15364" width="27" style="2" customWidth="1"/>
    <col min="15365" max="15365" width="19" style="2" customWidth="1"/>
    <col min="15366" max="15366" width="26.7109375" style="2" customWidth="1"/>
    <col min="15367" max="15367" width="31.5703125" style="2" customWidth="1"/>
    <col min="15368" max="15368" width="17.7109375" style="2" customWidth="1"/>
    <col min="15369" max="15369" width="18.5703125" style="2" customWidth="1"/>
    <col min="15370" max="15370" width="21.7109375" style="2" customWidth="1"/>
    <col min="15371" max="15371" width="19.85546875" style="2" customWidth="1"/>
    <col min="15372" max="15372" width="34.140625" style="2" customWidth="1"/>
    <col min="15373" max="15373" width="17" style="2" customWidth="1"/>
    <col min="15374" max="15374" width="36.42578125" style="2" customWidth="1"/>
    <col min="15375" max="15375" width="26.5703125" style="2" customWidth="1"/>
    <col min="15376" max="15378" width="30.42578125" style="2" customWidth="1"/>
    <col min="15379" max="15428" width="0" style="2" hidden="1" customWidth="1"/>
    <col min="15429" max="15616" width="11.42578125" style="2"/>
    <col min="15617" max="15617" width="41.28515625" style="2" customWidth="1"/>
    <col min="15618" max="15619" width="40.42578125" style="2" customWidth="1"/>
    <col min="15620" max="15620" width="27" style="2" customWidth="1"/>
    <col min="15621" max="15621" width="19" style="2" customWidth="1"/>
    <col min="15622" max="15622" width="26.7109375" style="2" customWidth="1"/>
    <col min="15623" max="15623" width="31.5703125" style="2" customWidth="1"/>
    <col min="15624" max="15624" width="17.7109375" style="2" customWidth="1"/>
    <col min="15625" max="15625" width="18.5703125" style="2" customWidth="1"/>
    <col min="15626" max="15626" width="21.7109375" style="2" customWidth="1"/>
    <col min="15627" max="15627" width="19.85546875" style="2" customWidth="1"/>
    <col min="15628" max="15628" width="34.140625" style="2" customWidth="1"/>
    <col min="15629" max="15629" width="17" style="2" customWidth="1"/>
    <col min="15630" max="15630" width="36.42578125" style="2" customWidth="1"/>
    <col min="15631" max="15631" width="26.5703125" style="2" customWidth="1"/>
    <col min="15632" max="15634" width="30.42578125" style="2" customWidth="1"/>
    <col min="15635" max="15684" width="0" style="2" hidden="1" customWidth="1"/>
    <col min="15685" max="15872" width="11.42578125" style="2"/>
    <col min="15873" max="15873" width="41.28515625" style="2" customWidth="1"/>
    <col min="15874" max="15875" width="40.42578125" style="2" customWidth="1"/>
    <col min="15876" max="15876" width="27" style="2" customWidth="1"/>
    <col min="15877" max="15877" width="19" style="2" customWidth="1"/>
    <col min="15878" max="15878" width="26.7109375" style="2" customWidth="1"/>
    <col min="15879" max="15879" width="31.5703125" style="2" customWidth="1"/>
    <col min="15880" max="15880" width="17.7109375" style="2" customWidth="1"/>
    <col min="15881" max="15881" width="18.5703125" style="2" customWidth="1"/>
    <col min="15882" max="15882" width="21.7109375" style="2" customWidth="1"/>
    <col min="15883" max="15883" width="19.85546875" style="2" customWidth="1"/>
    <col min="15884" max="15884" width="34.140625" style="2" customWidth="1"/>
    <col min="15885" max="15885" width="17" style="2" customWidth="1"/>
    <col min="15886" max="15886" width="36.42578125" style="2" customWidth="1"/>
    <col min="15887" max="15887" width="26.5703125" style="2" customWidth="1"/>
    <col min="15888" max="15890" width="30.42578125" style="2" customWidth="1"/>
    <col min="15891" max="15940" width="0" style="2" hidden="1" customWidth="1"/>
    <col min="15941" max="16128" width="11.42578125" style="2"/>
    <col min="16129" max="16129" width="41.28515625" style="2" customWidth="1"/>
    <col min="16130" max="16131" width="40.42578125" style="2" customWidth="1"/>
    <col min="16132" max="16132" width="27" style="2" customWidth="1"/>
    <col min="16133" max="16133" width="19" style="2" customWidth="1"/>
    <col min="16134" max="16134" width="26.7109375" style="2" customWidth="1"/>
    <col min="16135" max="16135" width="31.5703125" style="2" customWidth="1"/>
    <col min="16136" max="16136" width="17.7109375" style="2" customWidth="1"/>
    <col min="16137" max="16137" width="18.5703125" style="2" customWidth="1"/>
    <col min="16138" max="16138" width="21.7109375" style="2" customWidth="1"/>
    <col min="16139" max="16139" width="19.85546875" style="2" customWidth="1"/>
    <col min="16140" max="16140" width="34.140625" style="2" customWidth="1"/>
    <col min="16141" max="16141" width="17" style="2" customWidth="1"/>
    <col min="16142" max="16142" width="36.42578125" style="2" customWidth="1"/>
    <col min="16143" max="16143" width="26.5703125" style="2" customWidth="1"/>
    <col min="16144" max="16146" width="30.42578125" style="2" customWidth="1"/>
    <col min="16147" max="16196" width="0" style="2" hidden="1" customWidth="1"/>
    <col min="16197"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[18]IdentRiesgo!B2</f>
        <v>Gestión del Mejoramiento Continuo</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[18]IdentRiesgo!B3</f>
        <v xml:space="preserve">Evaluar de forma autónoma, objetiva e independiente el funcionamiento del Sistema Integrado de Gestión del IDEAM para el cumplimiento de  los objetivos y metas, a través de la realización de auditorías, seguimientos y verificaciones a las diferentes áreas, procesos, planes y/o proyectos, formulando recomendaciones para contribuir al mejoramiento continuo y al fortalecimiento institucional </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115</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1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18" t="s">
        <v>28</v>
      </c>
      <c r="E16" s="18" t="s">
        <v>12</v>
      </c>
      <c r="F16" s="18" t="s">
        <v>29</v>
      </c>
      <c r="G16" s="107"/>
      <c r="H16" s="19" t="s">
        <v>28</v>
      </c>
      <c r="I16" s="19" t="s">
        <v>12</v>
      </c>
      <c r="J16" s="20" t="s">
        <v>29</v>
      </c>
      <c r="K16" s="18" t="s">
        <v>30</v>
      </c>
      <c r="L16" s="18" t="s">
        <v>26</v>
      </c>
      <c r="M16" s="18" t="s">
        <v>31</v>
      </c>
      <c r="N16" s="110"/>
      <c r="O16" s="110"/>
      <c r="P16" s="110"/>
      <c r="Q16" s="110"/>
    </row>
    <row r="17" spans="1:65" ht="230.25" customHeight="1" x14ac:dyDescent="0.25">
      <c r="A17" s="56" t="str">
        <f>[19]IdentRiesgo!A6</f>
        <v>Desconocimiento de las funciones y objetivos de la Oficina de Control Interno por parte de las demás dependencias.</v>
      </c>
      <c r="B17" s="56" t="str">
        <f>[19]IdentRiesgo!B6</f>
        <v>Falta de receptividad de las dependencias del Instituto frente a los informes y seguimientos con recomendaciones realizadas por la Oficina de Control Interno para la mejora continua.</v>
      </c>
      <c r="C17" s="22" t="str">
        <f>[19]IdentRiesgo!D6</f>
        <v>El mejoramiento continuo en los procesos, se ve afectado contribuyendo a un nivel de suceptibilidad mayor de la corrupción.</v>
      </c>
      <c r="D17" s="23">
        <v>3</v>
      </c>
      <c r="E17" s="23">
        <v>10</v>
      </c>
      <c r="F17" s="23" t="str">
        <f>CONCATENATE(S17,T17,U17,V17,W17)</f>
        <v xml:space="preserve">  A  </v>
      </c>
      <c r="G17" s="57" t="s">
        <v>138</v>
      </c>
      <c r="H17" s="25"/>
      <c r="I17" s="26" t="s">
        <v>83</v>
      </c>
      <c r="J17" s="23" t="str">
        <f>CONCATENATE(Z17,AA17,AB17,AC17,AD17,AF17,AG17,AH17,AI17,AJ17,AM17,AN17,AO17,AP17,AQ17,AU17,AV17,AW17,AX17,AY17,BB17,BC17,BD17,BE17,BF17,BI17,BJ17,BK17,BL17,BM17)</f>
        <v xml:space="preserve">                      M       </v>
      </c>
      <c r="K17" s="23" t="s">
        <v>139</v>
      </c>
      <c r="L17" s="57" t="s">
        <v>140</v>
      </c>
      <c r="M17" s="23" t="s">
        <v>141</v>
      </c>
      <c r="N17" s="27"/>
      <c r="O17" s="27"/>
      <c r="P17" s="27" t="s">
        <v>142</v>
      </c>
      <c r="Q17" s="58"/>
      <c r="S17" s="29" t="str">
        <f>IF(AND(D17=1,E17=5),$E$22,IF(AND(D17=1,E17=10),$F$22,IF(AND(D17=1,E17=20),$G$22," ")))</f>
        <v xml:space="preserve"> </v>
      </c>
      <c r="T17" s="29" t="str">
        <f>IF(AND(D17=2,E17=5),$E$23,IF(AND(D17=2,E17=10),$F$23,IF(AND(D17=2,E17=20),$G$23," ")))</f>
        <v xml:space="preserve"> </v>
      </c>
      <c r="U17" s="29" t="str">
        <f>IF(AND(D17=3,E17=5),$E$24,IF(AND(D17=3,E17=10),$F$24,IF(AND(D17=3,E17=20),$G$24," ")))</f>
        <v>A</v>
      </c>
      <c r="V17" s="29" t="str">
        <f>IF(AND(D17=4,E17=5),$E$25,IF(AND(D17=4,E17=10),$F$25,IF(AND(D17=4,E17=20),$G$25," ")))</f>
        <v xml:space="preserve"> </v>
      </c>
      <c r="W17" s="29" t="str">
        <f>IF(AND(D17=5,E17=5),$E$26,IF(AND(D17=5,E17=10),$F$26,IF(AND(D17=5,E17=20),$G$26," ")))</f>
        <v xml:space="preserve"> </v>
      </c>
      <c r="Y17" s="30" t="s">
        <v>35</v>
      </c>
      <c r="Z17" s="29" t="str">
        <f>IF(AND(H17&gt;0,[18]EvaluaciónRiesgoCorrupR1!$F$11&gt;75,D17=1,E17=5),$E$22,IF(AND(H17&gt;0,[18]EvaluaciónRiesgoCorrupR1!$F$11&gt;75,D17=1,E17=10),$F$22,IF(AND(H17&gt;0,[18]EvaluaciónRiesgoCorrupR1!$F$11&gt;75,D17=1,E17=20),$G$22," ")))</f>
        <v xml:space="preserve"> </v>
      </c>
      <c r="AA17" s="29" t="str">
        <f>IF(AND(H17&gt;0,[18]EvaluaciónRiesgoCorrupR1!$F$11&gt;75,D17=2,E17=5),$E$22,IF(AND(H17&gt;0,[18]EvaluaciónRiesgoCorrupR1!$F$11&gt;75,D17=2,E17=10),$F$22,IF(AND(H17&gt;0,[18]EvaluaciónRiesgoCorrupR1!$F$11&gt;75,D17=2,E17=20),$G$22," ")))</f>
        <v xml:space="preserve"> </v>
      </c>
      <c r="AB17" s="29" t="str">
        <f>IF(AND(H17&gt;0,[18]EvaluaciónRiesgoCorrupR1!$F$11&gt;75,D17=3,E17=5),$E$22,IF(AND(H17&gt;0,[18]EvaluaciónRiesgoCorrupR1!$F$11&gt;75,D17=3,E17=10),$F$22,IF(AND(H17&gt;0,[18]EvaluaciónRiesgoCorrupR1!$F$11&gt;75,D17=3,E17=20),$G$22," ")))</f>
        <v xml:space="preserve"> </v>
      </c>
      <c r="AC17" s="29" t="str">
        <f>IF(AND(H17&gt;0,[18]EvaluaciónRiesgoCorrupR1!$F$11&gt;75,D17=4,E17=5),$E$23,IF(AND(H17&gt;0,[18]EvaluaciónRiesgoCorrupR1!$F$11&gt;75,D17=4,E17=10),$F$23,IF(AND(H17&gt;0,[18]EvaluaciónRiesgoCorrupR1!$F$11&gt;75,D17=4,E17=20),$G$23," ")))</f>
        <v xml:space="preserve"> </v>
      </c>
      <c r="AD17" s="29" t="str">
        <f>IF(AND(H17&gt;0,[18]EvaluaciónRiesgoCorrupR1!$F$11&gt;75,D17=5,E17=5),$E$24,IF(AND(H17&gt;0,[18]EvaluaciónRiesgoCorrupR1!$F$11&gt;75,D17=5,E17=10),$F$24,IF(AND(H17&gt;0,[18]EvaluaciónRiesgoCorrupR1!$F$11&gt;75,D17=5,E17=20),$G$24," ")))</f>
        <v xml:space="preserve"> </v>
      </c>
      <c r="AE17" s="30" t="s">
        <v>36</v>
      </c>
      <c r="AF17" s="29" t="str">
        <f>IF(AND(H17&gt;0,[18]EvaluaciónRiesgoCorrupR1!$F$11&gt;50,[18]EvaluaciónRiesgoCorrupR1!$F$11&lt;76,D17=1,E17=5),$E$22,IF(AND(H17&gt;0,[18]EvaluaciónRiesgoCorrupR1!$F$11&gt;50,[18]EvaluaciónRiesgoCorrupR1!$F$11&lt;76,D17=1,E17=10),$F$22,IF(AND(H17&gt;0,[18]EvaluaciónRiesgoCorrupR1!$F$11&gt;50,[18]EvaluaciónRiesgoCorrupR1!$F$11&lt;76,D17=1,E17=20),$G$22," ")))</f>
        <v xml:space="preserve"> </v>
      </c>
      <c r="AG17" s="29" t="str">
        <f>IF(AND(H17&gt;0,[18]EvaluaciónRiesgoCorrupR1!$F$11&gt;50,[18]EvaluaciónRiesgoCorrupR1!$F$11&lt;76,D17=2,E17=5),$E$22,IF(AND(H17&gt;0,[18]EvaluaciónRiesgoCorrupR1!$F$11&gt;50,[18]EvaluaciónRiesgoCorrupR1!$F$11&lt;76,D17=2,E17=10),$F$22,IF(AND(H17&gt;0,[18]EvaluaciónRiesgoCorrupR1!$F$11&gt;50,[18]EvaluaciónRiesgoCorrupR1!$F$11&lt;76,D17=2,E17=20),$G$22," ")))</f>
        <v xml:space="preserve"> </v>
      </c>
      <c r="AH17" s="29" t="str">
        <f>IF(AND(H17&gt;0,[18]EvaluaciónRiesgoCorrupR1!$F$11&gt;50,[18]EvaluaciónRiesgoCorrupR1!$F$11&lt;76,D17=3,E17=5),$E$23,IF(AND(H17&gt;0,[18]EvaluaciónRiesgoCorrupR1!$F$11&gt;50,[18]EvaluaciónRiesgoCorrupR1!$F$11&lt;76,D17=3,E17=10),$F$23,IF(AND(H17&gt;0,[18]EvaluaciónRiesgoCorrupR1!$F$11&gt;50,[18]EvaluaciónRiesgoCorrupR1!$F$11&lt;76,D17=3,E17=20),$G$23," ")))</f>
        <v xml:space="preserve"> </v>
      </c>
      <c r="AI17" s="29" t="str">
        <f>IF(AND(H17&gt;0,[18]EvaluaciónRiesgoCorrupR1!$F$11&gt;50,[18]EvaluaciónRiesgoCorrupR1!$F$11&lt;76,D17=4,E17=5),$E$24,IF(AND(H17&gt;0,[18]EvaluaciónRiesgoCorrupR1!$F$11&gt;50,[18]EvaluaciónRiesgoCorrupR1!$F$11&lt;76,D17=4,E17=10),$F$24,IF(AND(H17&gt;0,[18]EvaluaciónRiesgoCorrupR1!$F$11&gt;50,[18]EvaluaciónRiesgoCorrupR1!$F$11&lt;76,D17=4,E17=20),$G$24," ")))</f>
        <v xml:space="preserve"> </v>
      </c>
      <c r="AJ17" s="29" t="str">
        <f>IF(AND(H17&gt;0,[18]EvaluaciónRiesgoCorrupR1!$F$11&gt;50,[18]EvaluaciónRiesgoCorrupR1!$F$11&lt;76,D17=5,E17=5),$E$25,IF(AND(H17&gt;0,[18]EvaluaciónRiesgoCorrupR1!$F$11&gt;50,[18]EvaluaciónRiesgoCorrupR1!$F$11&lt;76,D17=5,E17=10),$F$25,IF(AND(H17&gt;0,[18]EvaluaciónRiesgoCorrupR1!$F$11&gt;50,[18]EvaluaciónRiesgoCorrupR1!$F$11&lt;76,D17=5,E17=20),$G$25," ")))</f>
        <v xml:space="preserve"> </v>
      </c>
      <c r="AL17" s="30" t="s">
        <v>37</v>
      </c>
      <c r="AM17" s="29" t="str">
        <f>IF(AND(H17&gt;0,[18]EvaluaciónRiesgoCorrupR1!$F$11&lt;51,D17=1,E17=5),$E$22,IF(AND(H17&gt;0,[18]EvaluaciónRiesgoCorrupR1!$F$11&lt;51,D17=1,E17=10),$F$22,IF(AND(H17&gt;0,[18]EvaluaciónRiesgoCorrupR1!$F$11&lt;51,D17=1,E17=20),G$22," ")))</f>
        <v xml:space="preserve"> </v>
      </c>
      <c r="AN17" s="29" t="str">
        <f>IF(AND(H17&gt;0,[18]EvaluaciónRiesgoCorrupR1!$F$11&lt;51,D17=2,E17=5),$E$23,IF(AND(H17&gt;0,[18]EvaluaciónRiesgoCorrupR1!$F$11&lt;51,D17=2,E17=10),$F$23,IF(AND(H17&gt;0,[18]EvaluaciónRiesgoCorrupR1!$F$11&lt;51,D17=2,E17=20),G$23," ")))</f>
        <v xml:space="preserve"> </v>
      </c>
      <c r="AO17" s="29" t="str">
        <f>IF(AND(H17&gt;0,[18]EvaluaciónRiesgoCorrupR1!$F$11&lt;51,D17=3,E17=5),$E$24,IF(AND(H17&gt;0,[18]EvaluaciónRiesgoCorrupR1!$F$11&lt;51,D17=3,E17=10),$F$24,IF(AND(H17&gt;0,[18]EvaluaciónRiesgoCorrupR1!$F$11&lt;51,D17=3,E17=20),G$24," ")))</f>
        <v xml:space="preserve"> </v>
      </c>
      <c r="AP17" s="29" t="str">
        <f>IF(AND(H17&gt;0,[18]EvaluaciónRiesgoCorrupR1!$F$11&lt;51,D17=4,E17=5),$E$25,IF(AND(H17&gt;0,[18]EvaluaciónRiesgoCorrupR1!$F$11&lt;51,D17=4,E17=10),$F$25,IF(AND(H17&gt;0,[18]EvaluaciónRiesgoCorrupR1!$F$11&lt;51,D17=4,E17=20),G$25," ")))</f>
        <v xml:space="preserve"> </v>
      </c>
      <c r="AQ17" s="29" t="str">
        <f>IF(AND(H17&gt;0,[18]EvaluaciónRiesgoCorrupR1!$F$11&lt;51,D17=5,E17=5),$E$26,IF(AND(H17&gt;0,[18]EvaluaciónRiesgoCorrupR1!$F$11&lt;51,D17=5,E17=10),$F$26,IF(AND(H17&gt;0,[18]EvaluaciónRiesgoCorrupR1!$F$11&lt;51,D17=5,E17=20),G$26," ")))</f>
        <v xml:space="preserve"> </v>
      </c>
      <c r="AT17" s="30" t="s">
        <v>35</v>
      </c>
      <c r="AU17" s="29" t="str">
        <f>IF(AND(I17&gt;0,[18]EvaluaciónRiesgoCorrupR1!$F$11&gt;75,D17=1,E17=5),$E$22,IF(AND(I17&gt;0,[18]EvaluaciónRiesgoCorrupR1!$F$11&gt;75,D17=1,E17=10),$E$22,IF(AND(I17&gt;0,[18]EvaluaciónRiesgoCorrupR1!$F$11&gt;75,D17=1,E17=20),$E$22," ")))</f>
        <v xml:space="preserve"> </v>
      </c>
      <c r="AV17" s="29" t="str">
        <f>IF(AND(I17&gt;0,[18]EvaluaciónRiesgoCorrupR1!$F$11&gt;75,D17=2,E17=5),$E$23,IF(AND(I17&gt;0,[18]EvaluaciónRiesgoCorrupR1!$F$11&gt;75,D17=2,E17=10),$E$23,IF(AND(I17&gt;0,[18]EvaluaciónRiesgoCorrupR1!$F$11&gt;75,D17=2,E17=20),$E$23," ")))</f>
        <v xml:space="preserve"> </v>
      </c>
      <c r="AW17" s="29" t="str">
        <f>IF(AND(I17&gt;0,[18]EvaluaciónRiesgoCorrupR1!$F$11&gt;75,D17=3,E17=5),$E$24,IF(AND(I17&gt;0,[18]EvaluaciónRiesgoCorrupR1!$F$11&gt;75,D17=3,E17=10),$E$24,IF(AND(I17&gt;0,[18]EvaluaciónRiesgoCorrupR1!$F$11&gt;75,D17=3,E17=20),$E$24," ")))</f>
        <v xml:space="preserve"> </v>
      </c>
      <c r="AX17" s="29" t="str">
        <f>IF(AND(I17&gt;0,[18]EvaluaciónRiesgoCorrupR1!$F$11&gt;75,D17=4,E17=5),$E$25,IF(AND(I17&gt;0,[18]EvaluaciónRiesgoCorrupR1!$F$11&gt;75,D17=4,E17=10),$E$25,IF(AND(I17&gt;0,[18]EvaluaciónRiesgoCorrupR1!$F$11&gt;75,D17=4,E17=20),$E$25," ")))</f>
        <v xml:space="preserve"> </v>
      </c>
      <c r="AY17" s="29" t="str">
        <f>IF(AND(I17&gt;0,[18]EvaluaciónRiesgoCorrupR1!$F$11&gt;75,D17=5,E17=5),$E$26,IF(AND(I17&gt;0,[18]EvaluaciónRiesgoCorrupR1!$F$11&gt;75,D17=5,E17=10),$E$26,IF(AND(I17&gt;0,[18]EvaluaciónRiesgoCorrupR1!$F$11&gt;75,D17=5,E17=20),$E$26," ")))</f>
        <v xml:space="preserve"> </v>
      </c>
      <c r="BA17" s="30" t="s">
        <v>36</v>
      </c>
      <c r="BB17" s="29" t="str">
        <f>IF(AND(I17&gt;0,[18]EvaluaciónRiesgoCorrupR1!$F$11&gt;50,[18]EvaluaciónRiesgoCorrupR1!$F$11&lt;76,D17=1,E17=5),$E$22,IF(AND(I17&gt;0,[18]EvaluaciónRiesgoCorrupR1!$F$11&gt;50,[18]EvaluaciónRiesgoCorrupR1!$F$11&lt;76,D17=1,E17=10),$E$22,IF(AND(I17&gt;0,[18]EvaluaciónRiesgoCorrupR1!$F$11&gt;50,[18]EvaluaciónRiesgoCorrupR1!$F$11&lt;76,D17=1,E17=20),$F$22," ")))</f>
        <v xml:space="preserve"> </v>
      </c>
      <c r="BC17" s="29" t="str">
        <f>IF(AND(I17&gt;0,[18]EvaluaciónRiesgoCorrupR1!$F$11&gt;50,[18]EvaluaciónRiesgoCorrupR1!$F$11&lt;76,D17=2,E17=5),$E$23,IF(AND(I17&gt;0,[18]EvaluaciónRiesgoCorrupR1!$F$11&gt;50,[18]EvaluaciónRiesgoCorrupR1!$F$11&lt;76,D17=2,E17=10),$E$23,IF(AND(I17&gt;0,[18]EvaluaciónRiesgoCorrupR1!$F$11&gt;50,[18]EvaluaciónRiesgoCorrupR1!$F$11&lt;76,D17=2,E17=20),$F$23," ")))</f>
        <v xml:space="preserve"> </v>
      </c>
      <c r="BD17" s="29" t="str">
        <f>IF(AND(I17&gt;0,[18]EvaluaciónRiesgoCorrupR1!$F$11&gt;50,[18]EvaluaciónRiesgoCorrupR1!$F$11&lt;76,D17=3,E17=5),$E$24,IF(AND(I17&gt;0,[18]EvaluaciónRiesgoCorrupR1!$F$11&gt;50,[18]EvaluaciónRiesgoCorrupR1!$F$11&lt;76,D17=3,E17=10),$E$24,IF(AND(I17&gt;0,[18]EvaluaciónRiesgoCorrupR1!$F$11&gt;50,[18]EvaluaciónRiesgoCorrupR1!$F$11&lt;76,D17=3,E17=20),$F$24," ")))</f>
        <v>M</v>
      </c>
      <c r="BE17" s="29" t="str">
        <f>IF(AND(I17&gt;0,[18]EvaluaciónRiesgoCorrupR1!$F$11&gt;50,[18]EvaluaciónRiesgoCorrupR1!$F$11&lt;76,D17=4,E17=5),$E$25,IF(AND(I17&gt;0,[18]EvaluaciónRiesgoCorrupR1!$F$11&gt;50,[18]EvaluaciónRiesgoCorrupR1!$F$11&lt;76,D17=4,E17=10),$E$25,IF(AND(I17&gt;0,[18]EvaluaciónRiesgoCorrupR1!$F$11&gt;50,[18]EvaluaciónRiesgoCorrupR1!$F$11&lt;76,D17=4,E17=20),$F$25," ")))</f>
        <v xml:space="preserve"> </v>
      </c>
      <c r="BF17" s="29" t="str">
        <f>IF(AND(I17&gt;0,[18]EvaluaciónRiesgoCorrupR1!$F$11&gt;50,[18]EvaluaciónRiesgoCorrupR1!$F$11&lt;76,D17=5,E17=5),$E$26,IF(AND(I17&gt;0,[18]EvaluaciónRiesgoCorrupR1!$F$11&gt;50,[18]EvaluaciónRiesgoCorrupR1!$F$11&lt;76,D17=5,E17=10),$E$26,IF(AND(I17&gt;0,[18]EvaluaciónRiesgoCorrupR1!$F$11&gt;50,[18]EvaluaciónRiesgoCorrupR1!$F$11&lt;76,D17=5,E17=20),$F$26," ")))</f>
        <v xml:space="preserve"> </v>
      </c>
      <c r="BH17" s="30" t="s">
        <v>37</v>
      </c>
      <c r="BI17" s="29" t="str">
        <f>IF(AND(I17&gt;0,[18]EvaluaciónRiesgoCorrupR1!$F$11&lt;51,D17=1,E17=5),$E$22,IF(AND(I17&gt;0,[18]EvaluaciónRiesgoCorrupR1!$F$11&lt;51,D17=1,E17=10),$F$22,IF(AND(I17&gt;0,[18]EvaluaciónRiesgoCorrupR1!$F$11&lt;51,D17=1,E17=20),$G$22," ")))</f>
        <v xml:space="preserve"> </v>
      </c>
      <c r="BJ17" s="29" t="str">
        <f>IF(AND(I17&gt;0,[18]EvaluaciónRiesgoCorrupR1!$F$11&lt;51,D17=2,E17=5),$E$23,IF(AND(I17&gt;0,[18]EvaluaciónRiesgoCorrupR1!$F$11&lt;51,D17=2,E17=10),$F$23,IF(AND(I17&gt;0,[18]EvaluaciónRiesgoCorrupR1!$F$11&lt;51,D17=2,E17=20),$G$23," ")))</f>
        <v xml:space="preserve"> </v>
      </c>
      <c r="BK17" s="29" t="str">
        <f>IF(AND(I17&gt;0,[18]EvaluaciónRiesgoCorrupR1!$F$11&lt;51,D17=3,E17=5),$E$24,IF(AND(I17&gt;0,[18]EvaluaciónRiesgoCorrupR1!$F$11&lt;51,D17=3,E17=10),$F$24,IF(AND(I17&gt;0,[18]EvaluaciónRiesgoCorrupR1!$F$11&lt;51,D17=3,E17=20),$G$24," ")))</f>
        <v xml:space="preserve"> </v>
      </c>
      <c r="BL17" s="29" t="str">
        <f>IF(AND(I17&gt;0,[18]EvaluaciónRiesgoCorrupR1!$F$11&lt;51,D17=4,E17=5),$E$25,IF(AND(I17&gt;0,[18]EvaluaciónRiesgoCorrupR1!$F$11&lt;51,D17=4,E17=10),$F$25,IF(AND(I17&gt;0,[18]EvaluaciónRiesgoCorrupR1!$F$11&lt;51,D17=4,E17=20),$G$25," ")))</f>
        <v xml:space="preserve"> </v>
      </c>
      <c r="BM17" s="29" t="str">
        <f>IF(AND(I17&gt;0,[18]EvaluaciónRiesgoCorrupR1!$F$11&lt;51,D17=5,E17=5),$E$26,IF(AND(I17&gt;0,[18]EvaluaciónRiesgoCorrupR1!$F$11&lt;51,D17=5,E17=10),$F$26,IF(AND(I17&gt;0,[18]EvaluaciónRiesgoCorrupR1!$F$11&lt;51,D17=5,E17=20),$G$26," ")))</f>
        <v xml:space="preserve"> </v>
      </c>
    </row>
    <row r="18" spans="1:65" ht="153.75" customHeight="1" x14ac:dyDescent="0.25">
      <c r="A18" s="56" t="str">
        <f>[19]IdentRiesgo!A7</f>
        <v>Inobservancia frente a los fundamentos éticos de un profesional/auditor.
Ausencia de controles efectivos. 
Desconocimiento de las normas vigentes sobre la materia a evaluar. 
Presiones indebidas/tráfico de influencias y favorabilidad.</v>
      </c>
      <c r="B18" s="56" t="str">
        <f>[19]IdentRiesgo!B7</f>
        <v>Generación de informes sin la debida idoneidad por parte de los auditores de la Oficina de Control Interno.</v>
      </c>
      <c r="C18" s="22" t="str">
        <f>[19]IdentRiesgo!D7</f>
        <v xml:space="preserve">Falta de credibilidad en la gestión de la Oficina de Control Interno, facilitando la ocurrencia de actos de corrupción. </v>
      </c>
      <c r="D18" s="23">
        <f>IF([19]AnálisisRiesgo!B10&gt;0,5,IF([19]AnálisisRiesgo!C10&gt;0,4,IF([19]AnálisisRiesgo!D10&gt;0,3,IF([19]AnálisisRiesgo!E10&gt;0,2,IF([19]AnálisisRiesgo!F10&gt;0,1,"")))))</f>
        <v>2</v>
      </c>
      <c r="E18" s="23">
        <v>10</v>
      </c>
      <c r="F18" s="23" t="str">
        <f>CONCATENATE(S18,T18,U18,V18,W18)</f>
        <v xml:space="preserve"> M   </v>
      </c>
      <c r="G18" s="57" t="s">
        <v>143</v>
      </c>
      <c r="H18" s="25"/>
      <c r="I18" s="26" t="s">
        <v>83</v>
      </c>
      <c r="J18" s="23" t="str">
        <f>CONCATENATE(Z18,AA18,AB18,AC18,AD18,AF18,AG18,AH18,AI18,AJ18,AM18,AN18,AO18,AP18,AQ18,AU18,AV18,AW18,AX18,AY18,BB18,BC18,BD18,BE18,BF18,BI18,BJ18,BK18,BL18,BM18)</f>
        <v xml:space="preserve">                B             </v>
      </c>
      <c r="K18" s="23" t="s">
        <v>139</v>
      </c>
      <c r="L18" s="57" t="s">
        <v>144</v>
      </c>
      <c r="M18" s="23" t="s">
        <v>145</v>
      </c>
      <c r="N18" s="27"/>
      <c r="O18" s="27"/>
      <c r="P18" s="27" t="s">
        <v>142</v>
      </c>
      <c r="Q18" s="58"/>
      <c r="S18" s="29" t="str">
        <f>IF(AND(D18=1,E18=5),$E$22,IF(AND(D18=1,E18=10),$F$22,IF(AND(D18=1,E18=20),$G$22," ")))</f>
        <v xml:space="preserve"> </v>
      </c>
      <c r="T18" s="29" t="str">
        <f>IF(AND(D18=2,E18=5),$E$23,IF(AND(D18=2,E18=10),$F$23,IF(AND(D18=2,E18=20),$G$23," ")))</f>
        <v>M</v>
      </c>
      <c r="U18" s="29" t="str">
        <f>IF(AND(D18=3,E18=5),$E$24,IF(AND(D18=3,E18=10),$F$24,IF(AND(D18=3,E18=20),$G$24," ")))</f>
        <v xml:space="preserve"> </v>
      </c>
      <c r="V18" s="29" t="str">
        <f>IF(AND(D18=4,E18=5),$E$25,IF(AND(D18=4,E18=10),$F$25,IF(AND(D18=4,E18=20),$G$25," ")))</f>
        <v xml:space="preserve"> </v>
      </c>
      <c r="W18" s="29" t="str">
        <f>IF(AND(D18=5,E18=5),$E$26,IF(AND(D18=5,E18=10),$F$26,IF(AND(D18=5,E18=20),$G$26," ")))</f>
        <v xml:space="preserve"> </v>
      </c>
      <c r="Z18" s="29" t="str">
        <f>IF(AND(H18&gt;0,[18]EvaluaciónRiesgoCorrupR2!$F$11&gt;75,D18=1,E18=5),$E$22,IF(AND(H18&gt;0,[18]EvaluaciónRiesgoCorrupR2!$F$11&gt;75,D18=1,E18=10),$F$22,IF(AND(H18&gt;0,[18]EvaluaciónRiesgoCorrupR2!$F$11&gt;75,D18=1,E18=20),$G$22," ")))</f>
        <v xml:space="preserve"> </v>
      </c>
      <c r="AA18" s="29" t="str">
        <f>IF(AND(H18&gt;0,[18]EvaluaciónRiesgoCorrupR2!$F$11&gt;75,D18=2,E18=5),$E$22,IF(AND(H18&gt;0,[18]EvaluaciónRiesgoCorrupR2!$F$11&gt;75,D18=2,E18=10),$F$22,IF(AND(H18&gt;0,[18]EvaluaciónRiesgoCorrupR2!$F$11&gt;75,D18=2,E18=20),$G$22," ")))</f>
        <v xml:space="preserve"> </v>
      </c>
      <c r="AB18" s="29" t="str">
        <f>IF(AND(H18&gt;0,[18]EvaluaciónRiesgoCorrupR2!$F$11&gt;75,D18=3,E18=5),$E$22,IF(AND(H18&gt;0,[18]EvaluaciónRiesgoCorrupR2!$F$11&gt;75,D18=3,E18=10),$F$22,IF(AND(H18&gt;0,[18]EvaluaciónRiesgoCorrupR2!$F$11&gt;75,D18=3,E18=20),$G$22," ")))</f>
        <v xml:space="preserve"> </v>
      </c>
      <c r="AC18" s="29" t="str">
        <f>IF(AND(H18&gt;0,[18]EvaluaciónRiesgoCorrupR2!$F$11&gt;75,D18=4,E18=5),$E$23,IF(AND(H18&gt;0,[18]EvaluaciónRiesgoCorrupR2!$F$11&gt;75,D18=4,E18=10),$F$23,IF(AND(H18&gt;0,[18]EvaluaciónRiesgoCorrupR2!$F$11&gt;75,D18=4,E18=20),$G$23," ")))</f>
        <v xml:space="preserve"> </v>
      </c>
      <c r="AD18" s="29" t="str">
        <f>IF(AND(H18&gt;0,[18]EvaluaciónRiesgoCorrupR2!$F$11&gt;75,D18=5,E18=5),$E$24,IF(AND(H18&gt;0,[18]EvaluaciónRiesgoCorrupR2!$F$11&gt;75,D18=5,E18=10),$F$24,IF(AND(H18&gt;0,[18]EvaluaciónRiesgoCorrupR2!$F$11&gt;75,D18=5,E18=20),$G$24," ")))</f>
        <v xml:space="preserve"> </v>
      </c>
      <c r="AF18" s="29" t="str">
        <f>IF(AND(H18&gt;0,[18]EvaluaciónRiesgoCorrupR2!$F$11&gt;50,[18]EvaluaciónRiesgoCorrupR2!$F$11&lt;76,D18=1,E18=5),$E$22,IF(AND(H18&gt;0,[18]EvaluaciónRiesgoCorrupR2!$F$11&gt;50,[18]EvaluaciónRiesgoCorrupR2!$F$11&lt;76,D18=1,E18=10),$F$22,IF(AND(H18&gt;0,[18]EvaluaciónRiesgoCorrupR2!$F$11&gt;50,[18]EvaluaciónRiesgoCorrupR2!$F$11&lt;76,D18=1,E18=20),$G$22," ")))</f>
        <v xml:space="preserve"> </v>
      </c>
      <c r="AG18" s="29" t="str">
        <f>IF(AND(H18&gt;0,[18]EvaluaciónRiesgoCorrupR2!$F$11&gt;50,[18]EvaluaciónRiesgoCorrupR2!$F$11&lt;76,D18=2,E18=5),$E$22,IF(AND(H18&gt;0,[18]EvaluaciónRiesgoCorrupR2!$F$11&gt;50,[18]EvaluaciónRiesgoCorrupR2!$F$11&lt;76,D18=2,E18=10),$F$22,IF(AND(H18&gt;0,[18]EvaluaciónRiesgoCorrupR2!$F$11&gt;50,[18]EvaluaciónRiesgoCorrupR2!$F$11&lt;76,D18=2,E18=20),$G$22," ")))</f>
        <v xml:space="preserve"> </v>
      </c>
      <c r="AH18" s="29" t="str">
        <f>IF(AND(H18&gt;0,[18]EvaluaciónRiesgoCorrupR2!$F$11&gt;50,[18]EvaluaciónRiesgoCorrupR2!$F$11&lt;76,D18=3,E18=5),$E$23,IF(AND(H18&gt;0,[18]EvaluaciónRiesgoCorrupR2!$F$11&gt;50,[18]EvaluaciónRiesgoCorrupR2!$F$11&lt;76,D18=3,E18=10),$F$23,IF(AND(H18&gt;0,[18]EvaluaciónRiesgoCorrupR2!$F$11&gt;50,[18]EvaluaciónRiesgoCorrupR2!$F$11&lt;76,D18=3,E18=20),$G$23," ")))</f>
        <v xml:space="preserve"> </v>
      </c>
      <c r="AI18" s="29" t="str">
        <f>IF(AND(H18&gt;0,[18]EvaluaciónRiesgoCorrupR2!$F$11&gt;50,[18]EvaluaciónRiesgoCorrupR2!$F$11&lt;76,D18=4,E18=5),$E$24,IF(AND(H18&gt;0,[18]EvaluaciónRiesgoCorrupR2!$F$11&gt;50,[18]EvaluaciónRiesgoCorrupR2!$F$11&lt;76,D18=4,E18=10),$F$24,IF(AND(H18&gt;0,[18]EvaluaciónRiesgoCorrupR2!$F$11&gt;50,[18]EvaluaciónRiesgoCorrupR2!$F$11&lt;76,D18=4,E18=20),$G$24," ")))</f>
        <v xml:space="preserve"> </v>
      </c>
      <c r="AJ18" s="29" t="str">
        <f>IF(AND(H18&gt;0,[18]EvaluaciónRiesgoCorrupR2!$F$11&gt;50,[18]EvaluaciónRiesgoCorrupR2!$F$11&lt;76,D18=5,E18=5),$E$25,IF(AND(H18&gt;0,[18]EvaluaciónRiesgoCorrupR2!$F$11&gt;50,[18]EvaluaciónRiesgoCorrupR2!$F$11&lt;76,D18=5,E18=10),$F$25,IF(AND(H18&gt;0,[18]EvaluaciónRiesgoCorrupR2!$F$11&gt;50,[18]EvaluaciónRiesgoCorrupR2!$F$11&lt;76,D18=5,E18=20),$G$25," ")))</f>
        <v xml:space="preserve"> </v>
      </c>
      <c r="AM18" s="29" t="str">
        <f>IF(AND(H18&gt;0,[18]EvaluaciónRiesgoCorrupR2!$F$11&lt;51,D18=1,E18=5),$E$22,IF(AND(H18&gt;0,[18]EvaluaciónRiesgoCorrupR2!$F$11&lt;51,D18=1,E18=10),$F$22,IF(AND(H18&gt;0,[18]EvaluaciónRiesgoCorrupR2!$F$11&lt;51,D18=1,E18=20),G$22," ")))</f>
        <v xml:space="preserve"> </v>
      </c>
      <c r="AN18" s="29" t="str">
        <f>IF(AND(H18&gt;0,[18]EvaluaciónRiesgoCorrupR2!$F$11&lt;51,D18=2,E18=5),$E$23,IF(AND(H18&gt;0,[18]EvaluaciónRiesgoCorrupR2!$F$11&lt;51,D18=2,E18=10),$F$23,IF(AND(H18&gt;0,[18]EvaluaciónRiesgoCorrupR2!$F$11&lt;51,D18=2,E18=20),G$23," ")))</f>
        <v xml:space="preserve"> </v>
      </c>
      <c r="AO18" s="29" t="str">
        <f>IF(AND(H18&gt;0,[18]EvaluaciónRiesgoCorrupR2!$F$11&lt;51,D18=3,E18=5),$E$24,IF(AND(H18&gt;0,[18]EvaluaciónRiesgoCorrupR2!$F$11&lt;51,D18=3,E18=10),$F$24,IF(AND(H18&gt;0,[18]EvaluaciónRiesgoCorrupR2!$F$11&lt;51,D18=3,E18=20),G$24," ")))</f>
        <v xml:space="preserve"> </v>
      </c>
      <c r="AP18" s="29" t="str">
        <f>IF(AND(H18&gt;0,[18]EvaluaciónRiesgoCorrupR2!$F$11&lt;51,D18=4,E18=5),$E$25,IF(AND(H18&gt;0,[18]EvaluaciónRiesgoCorrupR2!$F$11&lt;51,D18=4,E18=10),$F$25,IF(AND(H18&gt;0,[18]EvaluaciónRiesgoCorrupR2!$F$11&lt;51,D18=4,E18=20),G$25," ")))</f>
        <v xml:space="preserve"> </v>
      </c>
      <c r="AQ18" s="29" t="str">
        <f>IF(AND(H18&gt;0,[18]EvaluaciónRiesgoCorrupR2!$F$11&lt;51,D18=5,E18=5),$E$26,IF(AND(H18&gt;0,[18]EvaluaciónRiesgoCorrupR2!$F$11&lt;51,D18=5,E18=10),$F$26,IF(AND(H18&gt;0,[18]EvaluaciónRiesgoCorrupR2!$F$11&lt;51,D18=5,E18=20),G$26," ")))</f>
        <v xml:space="preserve"> </v>
      </c>
      <c r="AU18" s="29" t="str">
        <f>IF(AND(I18&gt;0,[18]EvaluaciónRiesgoCorrupR2!$F$11&gt;75,D18=1,E18=5),$E$22,IF(AND(I18&gt;0,[18]EvaluaciónRiesgoCorrupR2!$F$11&gt;75,D18=1,E18=10),$E$22,IF(AND(I18&gt;0,[18]EvaluaciónRiesgoCorrupR2!$F$11&gt;75,D18=1,E18=20),$E$22," ")))</f>
        <v xml:space="preserve"> </v>
      </c>
      <c r="AV18" s="29" t="str">
        <f>IF(AND(I18&gt;0,[18]EvaluaciónRiesgoCorrupR2!$F$11&gt;75,D18=2,E18=5),$E$23,IF(AND(I18&gt;0,[18]EvaluaciónRiesgoCorrupR2!$F$11&gt;75,D18=2,E18=10),$E$23,IF(AND(I18&gt;0,[18]EvaluaciónRiesgoCorrupR2!$F$11&gt;75,D18=2,E18=20),$E$23," ")))</f>
        <v>B</v>
      </c>
      <c r="AW18" s="29" t="str">
        <f>IF(AND(I18&gt;0,[18]EvaluaciónRiesgoCorrupR2!$F$11&gt;75,D18=3,E18=5),$E$24,IF(AND(I18&gt;0,[18]EvaluaciónRiesgoCorrupR2!$F$11&gt;75,D18=3,E18=10),$E$24,IF(AND(I18&gt;0,[18]EvaluaciónRiesgoCorrupR2!$F$11&gt;75,D18=3,E18=20),$E$24," ")))</f>
        <v xml:space="preserve"> </v>
      </c>
      <c r="AX18" s="29" t="str">
        <f>IF(AND(I18&gt;0,[18]EvaluaciónRiesgoCorrupR2!$F$11&gt;75,D18=4,E18=5),$E$25,IF(AND(I18&gt;0,[18]EvaluaciónRiesgoCorrupR2!$F$11&gt;75,D18=4,E18=10),$E$25,IF(AND(I18&gt;0,[18]EvaluaciónRiesgoCorrupR2!$F$11&gt;75,D18=4,E18=20),$E$25," ")))</f>
        <v xml:space="preserve"> </v>
      </c>
      <c r="AY18" s="29" t="str">
        <f>IF(AND(I18&gt;0,[18]EvaluaciónRiesgoCorrupR2!$F$11&gt;75,D18=5,E18=5),$E$26,IF(AND(I18&gt;0,[18]EvaluaciónRiesgoCorrupR2!$F$11&gt;75,D18=5,E18=10),$E$26,IF(AND(I18&gt;0,[18]EvaluaciónRiesgoCorrupR2!$F$11&gt;75,D18=5,E18=20),$E$26," ")))</f>
        <v xml:space="preserve"> </v>
      </c>
      <c r="BB18" s="29" t="str">
        <f>IF(AND(I18&gt;0,[18]EvaluaciónRiesgoCorrupR2!$F$11&gt;50,[18]EvaluaciónRiesgoCorrupR2!$F$11&lt;76,D18=1,E18=5),$E$22,IF(AND(I18&gt;0,[18]EvaluaciónRiesgoCorrupR2!$F$11&gt;50,[18]EvaluaciónRiesgoCorrupR2!$F$11&lt;76,D18=1,E18=10),$E$22,IF(AND(I18&gt;0,[18]EvaluaciónRiesgoCorrupR2!$F$11&gt;50,[18]EvaluaciónRiesgoCorrupR2!$F$11&lt;76,D18=1,E18=20),$F$22," ")))</f>
        <v xml:space="preserve"> </v>
      </c>
      <c r="BC18" s="29" t="str">
        <f>IF(AND(I18&gt;0,[18]EvaluaciónRiesgoCorrupR2!$F$11&gt;50,[18]EvaluaciónRiesgoCorrupR2!$F$11&lt;76,D18=2,E18=5),$E$23,IF(AND(I18&gt;0,[18]EvaluaciónRiesgoCorrupR2!$F$11&gt;50,[18]EvaluaciónRiesgoCorrupR2!$F$11&lt;76,D18=2,E18=10),$E$23,IF(AND(I18&gt;0,[18]EvaluaciónRiesgoCorrupR2!$F$11&gt;50,[18]EvaluaciónRiesgoCorrupR2!$F$11&lt;76,D18=2,E18=20),$F$23," ")))</f>
        <v xml:space="preserve"> </v>
      </c>
      <c r="BD18" s="29" t="str">
        <f>IF(AND(I18&gt;0,[18]EvaluaciónRiesgoCorrupR2!$F$11&gt;50,[18]EvaluaciónRiesgoCorrupR2!$F$11&lt;76,D18=3,E18=5),$E$24,IF(AND(I18&gt;0,[18]EvaluaciónRiesgoCorrupR2!$F$11&gt;50,[18]EvaluaciónRiesgoCorrupR2!$F$11&lt;76,D18=3,E18=10),$E$24,IF(AND(I18&gt;0,[18]EvaluaciónRiesgoCorrupR2!$F$11&gt;50,[18]EvaluaciónRiesgoCorrupR2!$F$11&lt;76,D18=3,E18=20),$F$24," ")))</f>
        <v xml:space="preserve"> </v>
      </c>
      <c r="BE18" s="29" t="str">
        <f>IF(AND(I18&gt;0,[18]EvaluaciónRiesgoCorrupR2!$F$11&gt;50,[18]EvaluaciónRiesgoCorrupR2!$F$11&lt;76,D18=4,E18=5),$E$25,IF(AND(I18&gt;0,[18]EvaluaciónRiesgoCorrupR2!$F$11&gt;50,[18]EvaluaciónRiesgoCorrupR2!$F$11&lt;76,D18=4,E18=10),$E$25,IF(AND(I18&gt;0,[18]EvaluaciónRiesgoCorrupR2!$F$11&gt;50,[18]EvaluaciónRiesgoCorrupR2!$F$11&lt;76,D18=4,E18=20),$F$25," ")))</f>
        <v xml:space="preserve"> </v>
      </c>
      <c r="BF18" s="29" t="str">
        <f>IF(AND(I18&gt;0,[18]EvaluaciónRiesgoCorrupR2!$F$11&gt;50,[18]EvaluaciónRiesgoCorrupR2!$F$11&lt;76,D18=5,E18=5),$E$26,IF(AND(I18&gt;0,[18]EvaluaciónRiesgoCorrupR2!$F$11&gt;50,[18]EvaluaciónRiesgoCorrupR2!$F$11&lt;76,D18=5,E18=10),$E$26,IF(AND(I18&gt;0,[18]EvaluaciónRiesgoCorrupR2!$F$11&gt;50,[18]EvaluaciónRiesgoCorrupR2!$F$11&lt;76,D18=5,E18=20),$F$26," ")))</f>
        <v xml:space="preserve"> </v>
      </c>
      <c r="BI18" s="29" t="str">
        <f>IF(AND(I18&gt;0,[18]EvaluaciónRiesgoCorrupR2!$F$11&lt;51,D18=1,E18=5),$E$22,IF(AND(I18&gt;0,[18]EvaluaciónRiesgoCorrupR2!$F$11&lt;51,D18=1,E18=10),$F$22,IF(AND(I18&gt;0,[18]EvaluaciónRiesgoCorrupR2!$F$11&lt;51,D18=1,E18=20),$G$22," ")))</f>
        <v xml:space="preserve"> </v>
      </c>
      <c r="BJ18" s="29" t="str">
        <f>IF(AND(I18&gt;0,[18]EvaluaciónRiesgoCorrupR2!$F$11&lt;51,D18=2,E18=5),$E$23,IF(AND(I18&gt;0,[18]EvaluaciónRiesgoCorrupR2!$F$11&lt;51,D18=2,E18=10),$F$23,IF(AND(I18&gt;0,[18]EvaluaciónRiesgoCorrupR2!$F$11&lt;51,D18=2,E18=20),$G$23," ")))</f>
        <v xml:space="preserve"> </v>
      </c>
      <c r="BK18" s="29" t="str">
        <f>IF(AND(I18&gt;0,[18]EvaluaciónRiesgoCorrupR2!$F$11&lt;51,D18=3,E18=5),$E$24,IF(AND(I18&gt;0,[18]EvaluaciónRiesgoCorrupR2!$F$11&lt;51,D18=3,E18=10),$F$24,IF(AND(I18&gt;0,[18]EvaluaciónRiesgoCorrupR2!$F$11&lt;51,D18=3,E18=20),$G$24," ")))</f>
        <v xml:space="preserve"> </v>
      </c>
      <c r="BL18" s="29" t="str">
        <f>IF(AND(I18&gt;0,[18]EvaluaciónRiesgoCorrupR2!$F$11&lt;51,D18=4,E18=5),$E$25,IF(AND(I18&gt;0,[18]EvaluaciónRiesgoCorrupR2!$F$11&lt;51,D18=4,E18=10),$F$25,IF(AND(I18&gt;0,[18]EvaluaciónRiesgoCorrupR2!$F$11&lt;51,D18=4,E18=20),$G$25," ")))</f>
        <v xml:space="preserve"> </v>
      </c>
      <c r="BM18" s="29" t="str">
        <f>IF(AND(I18&gt;0,[18]EvaluaciónRiesgoCorrupR2!$F$11&lt;51,D18=5,E18=5),$E$26,IF(AND(I18&gt;0,[18]EvaluaciónRiesgoCorrupR2!$F$11&lt;51,D18=5,E18=10),$F$26,IF(AND(I18&gt;0,[18]EvaluaciónRiesgoCorrupR2!$F$11&lt;51,D18=5,E18=20),$G$26," ")))</f>
        <v xml:space="preserve"> </v>
      </c>
    </row>
    <row r="19" spans="1:65" ht="15" thickBot="1" x14ac:dyDescent="0.3">
      <c r="A19" s="29"/>
      <c r="B19" s="31"/>
      <c r="C19" s="31"/>
      <c r="E19" s="33"/>
      <c r="F19" s="33"/>
    </row>
    <row r="20" spans="1:65" ht="15.75" thickBot="1" x14ac:dyDescent="0.3">
      <c r="A20" s="6"/>
      <c r="B20" s="34"/>
      <c r="C20" s="34"/>
      <c r="D20" s="114" t="s">
        <v>28</v>
      </c>
      <c r="E20" s="116" t="s">
        <v>12</v>
      </c>
      <c r="F20" s="116"/>
      <c r="G20" s="117"/>
      <c r="H20" s="2"/>
      <c r="L20" s="5"/>
      <c r="N20" s="2"/>
    </row>
    <row r="21" spans="1:65" ht="32.25" customHeight="1" thickBot="1" x14ac:dyDescent="0.3">
      <c r="A21" s="5"/>
      <c r="B21" s="35" t="s">
        <v>46</v>
      </c>
      <c r="C21" s="35"/>
      <c r="D21" s="115"/>
      <c r="E21" s="36" t="s">
        <v>47</v>
      </c>
      <c r="F21" s="37" t="s">
        <v>48</v>
      </c>
      <c r="G21" s="36" t="s">
        <v>49</v>
      </c>
      <c r="H21" s="2"/>
      <c r="L21" s="5"/>
      <c r="N21" s="2"/>
    </row>
    <row r="22" spans="1:65" ht="15.75" thickBot="1" x14ac:dyDescent="0.3">
      <c r="B22" s="5" t="s">
        <v>50</v>
      </c>
      <c r="D22" s="38" t="s">
        <v>51</v>
      </c>
      <c r="E22" s="39" t="s">
        <v>52</v>
      </c>
      <c r="F22" s="39" t="s">
        <v>52</v>
      </c>
      <c r="G22" s="40" t="s">
        <v>53</v>
      </c>
      <c r="H22" s="2"/>
      <c r="L22" s="5"/>
      <c r="N22" s="2"/>
    </row>
    <row r="23" spans="1:65" ht="15.75" thickBot="1" x14ac:dyDescent="0.3">
      <c r="D23" s="38" t="s">
        <v>54</v>
      </c>
      <c r="E23" s="39" t="s">
        <v>52</v>
      </c>
      <c r="F23" s="40" t="s">
        <v>53</v>
      </c>
      <c r="G23" s="41" t="s">
        <v>55</v>
      </c>
      <c r="H23" s="2"/>
      <c r="L23" s="5"/>
      <c r="N23" s="2"/>
    </row>
    <row r="24" spans="1:65" ht="15.75" thickBot="1" x14ac:dyDescent="0.3">
      <c r="D24" s="38" t="s">
        <v>56</v>
      </c>
      <c r="E24" s="40" t="s">
        <v>53</v>
      </c>
      <c r="F24" s="41" t="s">
        <v>55</v>
      </c>
      <c r="G24" s="42" t="s">
        <v>57</v>
      </c>
      <c r="H24" s="2"/>
      <c r="L24" s="5"/>
      <c r="N24" s="2"/>
    </row>
    <row r="25" spans="1:65" ht="15.75" thickBot="1" x14ac:dyDescent="0.3">
      <c r="D25" s="38" t="s">
        <v>58</v>
      </c>
      <c r="E25" s="40" t="s">
        <v>53</v>
      </c>
      <c r="F25" s="41" t="s">
        <v>55</v>
      </c>
      <c r="G25" s="42" t="s">
        <v>57</v>
      </c>
      <c r="H25" s="2"/>
      <c r="L25" s="5"/>
      <c r="N25" s="2"/>
    </row>
    <row r="26" spans="1:65" ht="15.75" thickBot="1" x14ac:dyDescent="0.3">
      <c r="D26" s="38" t="s">
        <v>59</v>
      </c>
      <c r="E26" s="40" t="s">
        <v>53</v>
      </c>
      <c r="F26" s="41" t="s">
        <v>55</v>
      </c>
      <c r="G26" s="42" t="s">
        <v>57</v>
      </c>
      <c r="H26" s="2"/>
      <c r="L26" s="5"/>
      <c r="N26" s="2"/>
    </row>
    <row r="27" spans="1:65" x14ac:dyDescent="0.25">
      <c r="D27" s="2"/>
      <c r="E27" s="2"/>
      <c r="F27" s="2"/>
      <c r="G27" s="5"/>
      <c r="I27" s="5"/>
    </row>
    <row r="28" spans="1:65" ht="15" x14ac:dyDescent="0.25">
      <c r="D28" s="43" t="s">
        <v>60</v>
      </c>
      <c r="E28" s="2"/>
      <c r="F28" s="2"/>
      <c r="G28" s="5"/>
      <c r="I28" s="5"/>
      <c r="J28" s="5"/>
      <c r="K28" s="5"/>
    </row>
    <row r="29" spans="1:65" ht="15" x14ac:dyDescent="0.25">
      <c r="D29" s="44" t="s">
        <v>61</v>
      </c>
      <c r="E29" s="2"/>
      <c r="F29" s="2"/>
      <c r="G29" s="5"/>
      <c r="I29" s="5"/>
      <c r="J29" s="5"/>
      <c r="K29" s="5"/>
    </row>
    <row r="30" spans="1:65" ht="15" x14ac:dyDescent="0.25">
      <c r="D30" s="45" t="s">
        <v>62</v>
      </c>
      <c r="E30" s="2"/>
      <c r="F30" s="2"/>
      <c r="G30" s="5"/>
      <c r="I30" s="5"/>
      <c r="J30" s="5"/>
      <c r="K30" s="5"/>
    </row>
    <row r="31" spans="1:65" ht="15" x14ac:dyDescent="0.25">
      <c r="D31" s="46" t="s">
        <v>63</v>
      </c>
      <c r="E31" s="2"/>
      <c r="F31" s="2"/>
      <c r="G31" s="5"/>
      <c r="I31" s="5"/>
      <c r="J31" s="5"/>
      <c r="K31" s="5"/>
    </row>
    <row r="39" spans="4:17" ht="59.25" x14ac:dyDescent="0.25">
      <c r="D39" s="59"/>
      <c r="E39" s="59"/>
      <c r="F39" s="59"/>
      <c r="G39" s="59"/>
      <c r="H39" s="59"/>
      <c r="I39" s="59"/>
      <c r="J39" s="59"/>
      <c r="K39" s="59"/>
      <c r="L39" s="59"/>
      <c r="M39" s="59"/>
      <c r="N39" s="59"/>
      <c r="O39" s="59"/>
      <c r="P39" s="59"/>
      <c r="Q39" s="59"/>
    </row>
  </sheetData>
  <mergeCells count="34">
    <mergeCell ref="O15:O16"/>
    <mergeCell ref="P15:P16"/>
    <mergeCell ref="Q15:Q16"/>
    <mergeCell ref="D20:D21"/>
    <mergeCell ref="E20:G20"/>
    <mergeCell ref="K15:M15"/>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A6:C6"/>
    <mergeCell ref="D6:Q6"/>
    <mergeCell ref="A8:C8"/>
    <mergeCell ref="D8:Q8"/>
    <mergeCell ref="A10:C10"/>
    <mergeCell ref="D10:Q10"/>
    <mergeCell ref="A1:C4"/>
    <mergeCell ref="D1:O4"/>
    <mergeCell ref="P1:Q1"/>
    <mergeCell ref="P2:Q2"/>
    <mergeCell ref="P3:Q3"/>
    <mergeCell ref="P4:Q4"/>
  </mergeCells>
  <conditionalFormatting sqref="F17:F18 J17:J18">
    <cfRule type="containsText" dxfId="3" priority="1" operator="containsText" text="E">
      <formula>NOT(ISERROR(SEARCH("E",F17)))</formula>
    </cfRule>
    <cfRule type="containsText" dxfId="2" priority="2" operator="containsText" text="M">
      <formula>NOT(ISERROR(SEARCH("M",F17)))</formula>
    </cfRule>
    <cfRule type="containsText" dxfId="1" priority="3" operator="containsText" text="A">
      <formula>NOT(ISERROR(SEARCH("A",F17)))</formula>
    </cfRule>
    <cfRule type="containsText" dxfId="0" priority="4" operator="containsText" text="B">
      <formula>NOT(ISERROR(SEARCH("B",F17)))</formula>
    </cfRule>
  </conditionalFormatting>
  <pageMargins left="0.7" right="0.7" top="0.75" bottom="0.75" header="0.3" footer="0.3"/>
  <pageSetup paperSize="130" scale="2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view="pageBreakPreview" topLeftCell="A4" zoomScale="30" zoomScaleNormal="70" zoomScaleSheetLayoutView="3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21.7109375" style="2" customWidth="1"/>
    <col min="11" max="12" width="19.85546875" style="2" customWidth="1"/>
    <col min="13" max="13" width="17"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[2]IdentRiesgo!B2</f>
        <v>Gestión de la Planeación</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[2]IdentRiesgo!B3</f>
        <v xml:space="preserve">Coordinar la formulación y hacer el seguimiento de los instrumentos de planeación necesarios para contribuir al cumplimiento de la misión institucional en el marco de las políticas vigentes. </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128</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63"/>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63" t="s">
        <v>28</v>
      </c>
      <c r="E16" s="63" t="s">
        <v>12</v>
      </c>
      <c r="F16" s="63" t="s">
        <v>29</v>
      </c>
      <c r="G16" s="107"/>
      <c r="H16" s="19" t="s">
        <v>28</v>
      </c>
      <c r="I16" s="19" t="s">
        <v>12</v>
      </c>
      <c r="J16" s="64" t="s">
        <v>29</v>
      </c>
      <c r="K16" s="63" t="s">
        <v>30</v>
      </c>
      <c r="L16" s="63" t="s">
        <v>26</v>
      </c>
      <c r="M16" s="63" t="s">
        <v>31</v>
      </c>
      <c r="N16" s="110"/>
      <c r="O16" s="110"/>
      <c r="P16" s="110"/>
      <c r="Q16" s="110"/>
    </row>
    <row r="17" spans="1:65" ht="153.75" customHeight="1" x14ac:dyDescent="0.25">
      <c r="A17" s="65" t="str">
        <f>[2]IdentRiesgo!A6</f>
        <v>Intereses mutuos o recibimiento de dádivas.</v>
      </c>
      <c r="B17" s="22" t="str">
        <f>[2]IdentRiesgo!B6</f>
        <v>Aprobar CDP que no esten en el POA (Plan Operativo Anual)</v>
      </c>
      <c r="C17" s="22" t="str">
        <f>[2]IdentRiesgo!D6</f>
        <v>1. Hallazgos en auditorias de los entes de Control. 
2. Perdida de credibilidad en la gestión de la Entidad. 
3. Detrimento patrimonial.</v>
      </c>
      <c r="D17" s="23">
        <f>IF([2]AnálisisRiesgo!B9&gt;0,5,IF([2]AnálisisRiesgo!C9&gt;0,4,IF([2]AnálisisRiesgo!D9&gt;0,3,IF([2]AnálisisRiesgo!E9&gt;0,2,IF([2]AnálisisRiesgo!F9&gt;0,1,"")))))</f>
        <v>1</v>
      </c>
      <c r="E17" s="23">
        <f>IF([2]AnálisisRiesgo!G9&gt;0,5,IF([2]AnálisisRiesgo!H9&gt;0,4,IF([2]AnálisisRiesgo!I9&gt;0,3,IF([2]AnálisisRiesgo!J9&gt;0,2,IF([2]AnálisisRiesgo!K9&gt;0,1,IF([2]AnálisisRiesgo!L9&gt;0,20,IF([2]AnálisisRiesgo!M9&gt;0,10,IF([2]AnálisisRiesgo!N9&gt;0,5,""))))))))</f>
        <v>10</v>
      </c>
      <c r="F17" s="23" t="str">
        <f>CONCATENATE(S17,T17,U17,V17,W17)</f>
        <v xml:space="preserve">B    </v>
      </c>
      <c r="G17" s="23" t="s">
        <v>129</v>
      </c>
      <c r="H17" s="25"/>
      <c r="I17" s="26" t="s">
        <v>32</v>
      </c>
      <c r="J17" s="23" t="str">
        <f>CONCATENATE(Z17,AA17,AB17,AC17,AD17,AF17,AG17,AH17,AI17,AJ17,AM17,AN17,AO17,AP17,AQ17,AU17,AV17,AW17,AX17,AY17,BB17,BC17,BD17,BE17,BF17,BI17,BJ17,BK17,BL17,BM17)</f>
        <v xml:space="preserve">               B              </v>
      </c>
      <c r="K17" s="23" t="s">
        <v>125</v>
      </c>
      <c r="L17" s="23" t="s">
        <v>130</v>
      </c>
      <c r="M17" s="23" t="s">
        <v>131</v>
      </c>
      <c r="N17" s="27"/>
      <c r="O17" s="27"/>
      <c r="P17" s="27"/>
      <c r="Q17" s="29"/>
      <c r="S17" s="29" t="str">
        <f>IF(AND(D17=1,E17=5),$E$25,IF(AND(D17=1,E17=10),$F$25,IF(AND(D17=1,E17=20),$G$25," ")))</f>
        <v>B</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IF(AND(H17&gt;0,[2]EvaluaciónRiesgoCorrup!$F$11&gt;75,D17=1,E17=5),$E$25,IF(AND(H17&gt;0,[2]EvaluaciónRiesgoCorrup!$F$11&gt;75,D17=1,E17=10),$F$25,IF(AND(H17&gt;0,[2]EvaluaciónRiesgoCorrup!$F$11&gt;75,D17=1,E17=20),$G$25," ")))</f>
        <v xml:space="preserve"> </v>
      </c>
      <c r="AA17" s="29" t="str">
        <f>IF(AND(H17&gt;0,[2]EvaluaciónRiesgoCorrup!$F$11&gt;75,D17=2,E17=5),$E$25,IF(AND(H17&gt;0,[2]EvaluaciónRiesgoCorrup!$F$11&gt;75,D17=2,E17=10),$F$25,IF(AND(H17&gt;0,[2]EvaluaciónRiesgoCorrup!$F$11&gt;75,D17=2,E17=20),$G$25," ")))</f>
        <v xml:space="preserve"> </v>
      </c>
      <c r="AB17" s="29" t="str">
        <f>IF(AND(H17&gt;0,[2]EvaluaciónRiesgoCorrup!$F$11&gt;75,D17=3,E17=5),$E$25,IF(AND(H17&gt;0,[2]EvaluaciónRiesgoCorrup!$F$11&gt;75,D17=3,E17=10),$F$25,IF(AND(H17&gt;0,[2]EvaluaciónRiesgoCorrup!$F$11&gt;75,D17=3,E17=20),$G$25," ")))</f>
        <v xml:space="preserve"> </v>
      </c>
      <c r="AC17" s="29" t="str">
        <f>IF(AND(H17&gt;0,[2]EvaluaciónRiesgoCorrup!$F$11&gt;75,D17=4,E17=5),$E$26,IF(AND(H17&gt;0,[2]EvaluaciónRiesgoCorrup!$F$11&gt;75,D17=4,E17=10),$F$26,IF(AND(H17&gt;0,[2]EvaluaciónRiesgoCorrup!$F$11&gt;75,D17=4,E17=20),$G$26," ")))</f>
        <v xml:space="preserve"> </v>
      </c>
      <c r="AD17" s="29" t="str">
        <f>IF(AND(H17&gt;0,[2]EvaluaciónRiesgoCorrup!$F$11&gt;75,D17=5,E17=5),$E$27,IF(AND(H17&gt;0,[2]EvaluaciónRiesgoCorrup!$F$11&gt;75,D17=5,E17=10),$F$27,IF(AND(H17&gt;0,[2]EvaluaciónRiesgoCorrup!$F$11&gt;75,D17=5,E17=20),$G$27," ")))</f>
        <v xml:space="preserve"> </v>
      </c>
      <c r="AE17" s="30" t="s">
        <v>36</v>
      </c>
      <c r="AF17" s="29" t="str">
        <f>IF(AND(H17&gt;0,[2]EvaluaciónRiesgoCorrup!$F$11&gt;50,[2]EvaluaciónRiesgoCorrup!$F$11&lt;76,D17=1,E17=5),$E$25,IF(AND(H17&gt;0,[2]EvaluaciónRiesgoCorrup!$F$11&gt;50,[2]EvaluaciónRiesgoCorrup!$F$11&lt;76,D17=1,E17=10),$F$25,IF(AND(H17&gt;0,[2]EvaluaciónRiesgoCorrup!$F$11&gt;50,[2]EvaluaciónRiesgoCorrup!$F$11&lt;76,D17=1,E17=20),$G$25," ")))</f>
        <v xml:space="preserve"> </v>
      </c>
      <c r="AG17" s="29" t="str">
        <f>IF(AND(H17&gt;0,[2]EvaluaciónRiesgoCorrup!$F$11&gt;50,[2]EvaluaciónRiesgoCorrup!$F$11&lt;76,D17=2,E17=5),$E$25,IF(AND(H17&gt;0,[2]EvaluaciónRiesgoCorrup!$F$11&gt;50,[2]EvaluaciónRiesgoCorrup!$F$11&lt;76,D17=2,E17=10),$F$25,IF(AND(H17&gt;0,[2]EvaluaciónRiesgoCorrup!$F$11&gt;50,[2]EvaluaciónRiesgoCorrup!$F$11&lt;76,D17=2,E17=20),$G$25," ")))</f>
        <v xml:space="preserve"> </v>
      </c>
      <c r="AH17" s="29" t="str">
        <f>IF(AND(H17&gt;0,[2]EvaluaciónRiesgoCorrup!$F$11&gt;50,[2]EvaluaciónRiesgoCorrup!$F$11&lt;76,D17=3,E17=5),$E$26,IF(AND(H17&gt;0,[2]EvaluaciónRiesgoCorrup!$F$11&gt;50,[2]EvaluaciónRiesgoCorrup!$F$11&lt;76,D17=3,E17=10),$F$26,IF(AND(H17&gt;0,[2]EvaluaciónRiesgoCorrup!$F$11&gt;50,[2]EvaluaciónRiesgoCorrup!$F$11&lt;76,D17=3,E17=20),$G$26," ")))</f>
        <v xml:space="preserve"> </v>
      </c>
      <c r="AI17" s="29" t="str">
        <f>IF(AND(H17&gt;0,[2]EvaluaciónRiesgoCorrup!$F$11&gt;50,[2]EvaluaciónRiesgoCorrup!$F$11&lt;76,D17=4,E17=5),$E$27,IF(AND(H17&gt;0,[2]EvaluaciónRiesgoCorrup!$F$11&gt;50,[2]EvaluaciónRiesgoCorrup!$F$11&lt;76,D17=4,E17=10),$F$27,IF(AND(H17&gt;0,[2]EvaluaciónRiesgoCorrup!$F$11&gt;50,[2]EvaluaciónRiesgoCorrup!$F$11&lt;76,D17=4,E17=20),$G$27," ")))</f>
        <v xml:space="preserve"> </v>
      </c>
      <c r="AJ17" s="29" t="str">
        <f>IF(AND(H17&gt;0,[2]EvaluaciónRiesgoCorrup!$F$11&gt;50,[2]EvaluaciónRiesgoCorrup!$F$11&lt;76,D17=5,E17=5),$E$28,IF(AND(H17&gt;0,[2]EvaluaciónRiesgoCorrup!$F$11&gt;50,[2]EvaluaciónRiesgoCorrup!$F$11&lt;76,D17=5,E17=10),$F$28,IF(AND(H17&gt;0,[2]EvaluaciónRiesgoCorrup!$F$11&gt;50,[2]EvaluaciónRiesgoCorrup!$F$11&lt;76,D17=5,E17=20),$G$28," ")))</f>
        <v xml:space="preserve"> </v>
      </c>
      <c r="AL17" s="30" t="s">
        <v>37</v>
      </c>
      <c r="AM17" s="29" t="str">
        <f>IF(AND(H17&gt;0,[2]EvaluaciónRiesgoCorrup!$F$11&lt;51,D17=1,E17=5),$E$25,IF(AND(H17&gt;0,[2]EvaluaciónRiesgoCorrup!$F$11&lt;51,D17=1,E17=10),$F$25,IF(AND(H17&gt;0,[2]EvaluaciónRiesgoCorrup!$F$11&lt;51,D17=1,E17=20),G$25," ")))</f>
        <v xml:space="preserve"> </v>
      </c>
      <c r="AN17" s="29" t="str">
        <f>IF(AND(H17&gt;0,[2]EvaluaciónRiesgoCorrup!$F$11&lt;51,D17=2,E17=5),$E$26,IF(AND(H17&gt;0,[2]EvaluaciónRiesgoCorrup!$F$11&lt;51,D17=2,E17=10),$F$26,IF(AND(H17&gt;0,[2]EvaluaciónRiesgoCorrup!$F$11&lt;51,D17=2,E17=20),G$26," ")))</f>
        <v xml:space="preserve"> </v>
      </c>
      <c r="AO17" s="29" t="str">
        <f>IF(AND(H17&gt;0,[2]EvaluaciónRiesgoCorrup!$F$11&lt;51,D17=3,E17=5),$E$27,IF(AND(H17&gt;0,[2]EvaluaciónRiesgoCorrup!$F$11&lt;51,D17=3,E17=10),$F$27,IF(AND(H17&gt;0,[2]EvaluaciónRiesgoCorrup!$F$11&lt;51,D17=3,E17=20),G$27," ")))</f>
        <v xml:space="preserve"> </v>
      </c>
      <c r="AP17" s="29" t="str">
        <f>IF(AND(H17&gt;0,[2]EvaluaciónRiesgoCorrup!$F$11&lt;51,D17=4,E17=5),$E$28,IF(AND(H17&gt;0,[2]EvaluaciónRiesgoCorrup!$F$11&lt;51,D17=4,E17=10),$F$28,IF(AND(H17&gt;0,[2]EvaluaciónRiesgoCorrup!$F$11&lt;51,D17=4,E17=20),G$28," ")))</f>
        <v xml:space="preserve"> </v>
      </c>
      <c r="AQ17" s="29" t="str">
        <f>IF(AND(H17&gt;0,[2]EvaluaciónRiesgoCorrup!$F$11&lt;51,D17=5,E17=5),$E$29,IF(AND(H17&gt;0,[2]EvaluaciónRiesgoCorrup!$F$11&lt;51,D17=5,E17=10),$F$29,IF(AND(H17&gt;0,[2]EvaluaciónRiesgoCorrup!$F$11&lt;51,D17=5,E17=20),G$29," ")))</f>
        <v xml:space="preserve"> </v>
      </c>
      <c r="AT17" s="30" t="s">
        <v>35</v>
      </c>
      <c r="AU17" s="29" t="str">
        <f>IF(AND(I17&gt;0,[2]EvaluaciónRiesgoCorrup!$F$11&gt;75,D17=1,E17=5),$E$25,IF(AND(I17&gt;0,[2]EvaluaciónRiesgoCorrup!$F$11&gt;75,D17=1,E17=10),$E$25,IF(AND(I17&gt;0,[2]EvaluaciónRiesgoCorrup!$F$11&gt;75,D17=1,E17=20),$E$25," ")))</f>
        <v>B</v>
      </c>
      <c r="AV17" s="29" t="str">
        <f>IF(AND(I17&gt;0,[2]EvaluaciónRiesgoCorrup!$F$11&gt;75,D17=2,E17=5),$E$26,IF(AND(I17&gt;0,[2]EvaluaciónRiesgoCorrup!$F$11&gt;75,D17=2,E17=10),$E$26,IF(AND(I17&gt;0,[2]EvaluaciónRiesgoCorrup!$F$11&gt;75,D17=2,E17=20),$E$26," ")))</f>
        <v xml:space="preserve"> </v>
      </c>
      <c r="AW17" s="29" t="str">
        <f>IF(AND(I17&gt;0,[2]EvaluaciónRiesgoCorrup!$F$11&gt;75,D17=3,E17=5),$E$27,IF(AND(I17&gt;0,[2]EvaluaciónRiesgoCorrup!$F$11&gt;75,D17=3,E17=10),$E$27,IF(AND(I17&gt;0,[2]EvaluaciónRiesgoCorrup!$F$11&gt;75,D17=3,E17=20),$E$27," ")))</f>
        <v xml:space="preserve"> </v>
      </c>
      <c r="AX17" s="29" t="str">
        <f>IF(AND(I17&gt;0,[2]EvaluaciónRiesgoCorrup!$F$11&gt;75,D17=4,E17=5),$E$28,IF(AND(I17&gt;0,[2]EvaluaciónRiesgoCorrup!$F$11&gt;75,D17=4,E17=10),$E$28,IF(AND(I17&gt;0,[2]EvaluaciónRiesgoCorrup!$F$11&gt;75,D17=4,E17=20),$E$28," ")))</f>
        <v xml:space="preserve"> </v>
      </c>
      <c r="AY17" s="29" t="str">
        <f>IF(AND(I17&gt;0,[2]EvaluaciónRiesgoCorrup!$F$11&gt;75,D17=5,E17=5),$E$29,IF(AND(I17&gt;0,[2]EvaluaciónRiesgoCorrup!$F$11&gt;75,D17=5,E17=10),$E$29,IF(AND(I17&gt;0,[2]EvaluaciónRiesgoCorrup!$F$11&gt;75,D17=5,E17=20),$E$29," ")))</f>
        <v xml:space="preserve"> </v>
      </c>
      <c r="BA17" s="30" t="s">
        <v>36</v>
      </c>
      <c r="BB17" s="29" t="str">
        <f>IF(AND(I17&gt;0,[2]EvaluaciónRiesgoCorrup!$F$11&gt;50,[2]EvaluaciónRiesgoCorrup!$F$11&lt;76,D17=1,E17=5),$E$25,IF(AND(I17&gt;0,[2]EvaluaciónRiesgoCorrup!$F$11&gt;50,[2]EvaluaciónRiesgoCorrup!$F$11&lt;76,D17=1,E17=10),$E$25,IF(AND(I17&gt;0,[2]EvaluaciónRiesgoCorrup!$F$11&gt;50,[2]EvaluaciónRiesgoCorrup!$F$11&lt;76,D17=1,E17=20),$F$25," ")))</f>
        <v xml:space="preserve"> </v>
      </c>
      <c r="BC17" s="29" t="str">
        <f>IF(AND(I17&gt;0,[2]EvaluaciónRiesgoCorrup!$F$11&gt;50,[2]EvaluaciónRiesgoCorrup!$F$11&lt;76,D17=2,E17=5),$E$26,IF(AND(I17&gt;0,[2]EvaluaciónRiesgoCorrup!$F$11&gt;50,[2]EvaluaciónRiesgoCorrup!$F$11&lt;76,D17=2,E17=10),$E$26,IF(AND(I17&gt;0,[2]EvaluaciónRiesgoCorrup!$F$11&gt;50,[2]EvaluaciónRiesgoCorrup!$F$11&lt;76,D17=2,E17=20),$F$26," ")))</f>
        <v xml:space="preserve"> </v>
      </c>
      <c r="BD17" s="29" t="str">
        <f>IF(AND(I17&gt;0,[2]EvaluaciónRiesgoCorrup!$F$11&gt;50,[2]EvaluaciónRiesgoCorrup!$F$11&lt;76,D17=3,E17=5),$E$27,IF(AND(I17&gt;0,[2]EvaluaciónRiesgoCorrup!$F$11&gt;50,[2]EvaluaciónRiesgoCorrup!$F$11&lt;76,D17=3,E17=10),$E$27,IF(AND(I17&gt;0,[2]EvaluaciónRiesgoCorrup!$F$11&gt;50,[2]EvaluaciónRiesgoCorrup!$F$11&lt;76,D17=3,E17=20),$F$27," ")))</f>
        <v xml:space="preserve"> </v>
      </c>
      <c r="BE17" s="29" t="str">
        <f>IF(AND(I17&gt;0,[2]EvaluaciónRiesgoCorrup!$F$11&gt;50,[2]EvaluaciónRiesgoCorrup!$F$11&lt;76,D17=4,E17=5),$E$28,IF(AND(I17&gt;0,[2]EvaluaciónRiesgoCorrup!$F$11&gt;50,[2]EvaluaciónRiesgoCorrup!$F$11&lt;76,D17=4,E17=10),$E$28,IF(AND(I17&gt;0,[2]EvaluaciónRiesgoCorrup!$F$11&gt;50,[2]EvaluaciónRiesgoCorrup!$F$11&lt;76,D17=4,E17=20),$F$28," ")))</f>
        <v xml:space="preserve"> </v>
      </c>
      <c r="BF17" s="29" t="str">
        <f>IF(AND(I17&gt;0,[2]EvaluaciónRiesgoCorrup!$F$11&gt;50,[2]EvaluaciónRiesgoCorrup!$F$11&lt;76,D17=5,E17=5),$E$29,IF(AND(I17&gt;0,[2]EvaluaciónRiesgoCorrup!$F$11&gt;50,[2]EvaluaciónRiesgoCorrup!$F$11&lt;76,D17=5,E17=10),$E$29,IF(AND(I17&gt;0,[2]EvaluaciónRiesgoCorrup!$F$11&gt;50,[2]EvaluaciónRiesgoCorrup!$F$11&lt;76,D17=5,E17=20),$F$29," ")))</f>
        <v xml:space="preserve"> </v>
      </c>
      <c r="BH17" s="30" t="s">
        <v>37</v>
      </c>
      <c r="BI17" s="29" t="str">
        <f>IF(AND(I17&gt;0,[2]EvaluaciónRiesgoCorrup!$F$11&lt;51,D17=1,E17=5),$E$25,IF(AND(I17&gt;0,[2]EvaluaciónRiesgoCorrup!$F$11&lt;51,D17=1,E17=10),$F$25,IF(AND(I17&gt;0,[2]EvaluaciónRiesgoCorrup!$F$11&lt;51,D17=1,E17=20),$G$25," ")))</f>
        <v xml:space="preserve"> </v>
      </c>
      <c r="BJ17" s="29" t="str">
        <f>IF(AND(I17&gt;0,[2]EvaluaciónRiesgoCorrup!$F$11&lt;51,D17=2,E17=5),$E$26,IF(AND(I17&gt;0,[2]EvaluaciónRiesgoCorrup!$F$11&lt;51,D17=2,E17=10),$F$26,IF(AND(I17&gt;0,[2]EvaluaciónRiesgoCorrup!$F$11&lt;51,D17=2,E17=20),$G$26," ")))</f>
        <v xml:space="preserve"> </v>
      </c>
      <c r="BK17" s="29" t="str">
        <f>IF(AND(I17&gt;0,[2]EvaluaciónRiesgoCorrup!$F$11&lt;51,D17=3,E17=5),$E$27,IF(AND(I17&gt;0,[2]EvaluaciónRiesgoCorrup!$F$11&lt;51,D17=3,E17=10),$F$27,IF(AND(I17&gt;0,[2]EvaluaciónRiesgoCorrup!$F$11&lt;51,D17=3,E17=20),$G$27," ")))</f>
        <v xml:space="preserve"> </v>
      </c>
      <c r="BL17" s="29" t="str">
        <f>IF(AND(I17&gt;0,[2]EvaluaciónRiesgoCorrup!$F$11&lt;51,D17=4,E17=5),$E$28,IF(AND(I17&gt;0,[2]EvaluaciónRiesgoCorrup!$F$11&lt;51,D17=4,E17=10),$F$28,IF(AND(I17&gt;0,[2]EvaluaciónRiesgoCorrup!$F$11&lt;51,D17=4,E17=20),$G$28," ")))</f>
        <v xml:space="preserve"> </v>
      </c>
      <c r="BM17" s="29" t="str">
        <f>IF(AND(I17&gt;0,[2]EvaluaciónRiesgoCorrup!$F$11&lt;51,D17=5,E17=5),$E$29,IF(AND(I17&gt;0,[2]EvaluaciónRiesgoCorrup!$F$11&lt;51,D17=5,E17=10),$F$29,IF(AND(I17&gt;0,[2]EvaluaciónRiesgoCorrup!$F$11&lt;51,D17=5,E17=20),$G$29," ")))</f>
        <v xml:space="preserve"> </v>
      </c>
    </row>
    <row r="18" spans="1:65" ht="153.75" customHeight="1" x14ac:dyDescent="0.3">
      <c r="A18" s="65">
        <f>[2]IdentRiesgo!A7</f>
        <v>0</v>
      </c>
      <c r="B18" s="22">
        <f>[2]IdentRiesgo!B7</f>
        <v>0</v>
      </c>
      <c r="C18" s="22">
        <f>[2]IdentRiesgo!D7</f>
        <v>0</v>
      </c>
      <c r="D18" s="23" t="str">
        <f>IF([2]AnálisisRiesgo!B10&gt;0,5,IF([2]AnálisisRiesgo!C10&gt;0,4,IF([2]AnálisisRiesgo!D10&gt;0,3,IF([2]AnálisisRiesgo!E10&gt;0,2,IF([2]AnálisisRiesgo!F10&gt;0,1,"")))))</f>
        <v/>
      </c>
      <c r="E18" s="23" t="str">
        <f>IF([2]AnálisisRiesgo!G10&gt;0,5,IF([2]AnálisisRiesgo!H10&gt;0,4,IF([2]AnálisisRiesgo!I10&gt;0,3,IF([2]AnálisisRiesgo!J10&gt;0,2,IF([2]AnálisisRiesgo!K10&gt;0,1,IF([2]AnálisisRiesgo!L10&gt;0,20,IF([2]AnálisisRiesgo!M10&gt;0,10,IF([2]AnálisisRiesgo!N10&gt;0,5,""))))))))</f>
        <v/>
      </c>
      <c r="F18" s="23" t="str">
        <f t="shared" ref="F18:F19" si="0">CONCATENATE(S18,T18,U18,V18,W18)</f>
        <v xml:space="preserve">     </v>
      </c>
      <c r="G18" s="24"/>
      <c r="H18" s="25"/>
      <c r="I18" s="26"/>
      <c r="J18" s="23" t="str">
        <f t="shared" ref="J18:J19" si="1">CONCATENATE(Z18,AA18,AB18,AC18,AD18,AF18,AG18,AH18,AI18,AJ18,AM18,AN18,AO18,AP18,AQ18,AU18,AV18,AW18,AX18,AY18,BB18,BC18,BD18,BE18,BF18,BI18,BJ18,BK18,BL18,BM18)</f>
        <v xml:space="preserve">                              </v>
      </c>
      <c r="K18" s="23"/>
      <c r="L18" s="23"/>
      <c r="M18" s="23"/>
      <c r="N18" s="27"/>
      <c r="O18" s="27"/>
      <c r="P18" s="27"/>
      <c r="Q18" s="29"/>
      <c r="S18" s="29" t="str">
        <f>IF(AND(D18=1,E18=5),$E$25,IF(AND(D18=1,E18=10),$F$25,IF(AND(D18=1,E18=20),$G$25," ")))</f>
        <v xml:space="preserve"> </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IF(AND(H18&gt;0,[2]EvaluaciónRiesgoCorrup!$F$11&gt;75,D18=1,E18=5),$E$25,IF(AND(H18&gt;0,[2]EvaluaciónRiesgoCorrup!$F$11&gt;75,D18=1,E18=10),$F$25,IF(AND(H18&gt;0,[2]EvaluaciónRiesgoCorrup!$F$11&gt;75,D18=1,E18=20),$G$25," ")))</f>
        <v xml:space="preserve"> </v>
      </c>
      <c r="AA18" s="29" t="str">
        <f>IF(AND(H18&gt;0,[2]EvaluaciónRiesgoCorrup!$F$11&gt;75,D18=2,E18=5),$E$25,IF(AND(H18&gt;0,[2]EvaluaciónRiesgoCorrup!$F$11&gt;75,D18=2,E18=10),$F$25,IF(AND(H18&gt;0,[2]EvaluaciónRiesgoCorrup!$F$11&gt;75,D18=2,E18=20),$G$25," ")))</f>
        <v xml:space="preserve"> </v>
      </c>
      <c r="AB18" s="29" t="str">
        <f>IF(AND(H18&gt;0,[2]EvaluaciónRiesgoCorrup!$F$11&gt;75,D18=3,E18=5),$E$25,IF(AND(H18&gt;0,[2]EvaluaciónRiesgoCorrup!$F$11&gt;75,D18=3,E18=10),$F$25,IF(AND(H18&gt;0,[2]EvaluaciónRiesgoCorrup!$F$11&gt;75,D18=3,E18=20),$G$25," ")))</f>
        <v xml:space="preserve"> </v>
      </c>
      <c r="AC18" s="29" t="str">
        <f>IF(AND(H18&gt;0,[2]EvaluaciónRiesgoCorrup!$F$11&gt;75,D18=4,E18=5),$E$26,IF(AND(H18&gt;0,[2]EvaluaciónRiesgoCorrup!$F$11&gt;75,D18=4,E18=10),$F$26,IF(AND(H18&gt;0,[2]EvaluaciónRiesgoCorrup!$F$11&gt;75,D18=4,E18=20),$G$26," ")))</f>
        <v xml:space="preserve"> </v>
      </c>
      <c r="AD18" s="29" t="str">
        <f>IF(AND(H18&gt;0,[2]EvaluaciónRiesgoCorrup!$F$11&gt;75,D18=5,E18=5),$E$27,IF(AND(H18&gt;0,[2]EvaluaciónRiesgoCorrup!$F$11&gt;75,D18=5,E18=10),$F$27,IF(AND(H18&gt;0,[2]EvaluaciónRiesgoCorrup!$F$11&gt;75,D18=5,E18=20),$G$27," ")))</f>
        <v xml:space="preserve"> </v>
      </c>
      <c r="AF18" s="29" t="str">
        <f>IF(AND(H18&gt;0,[2]EvaluaciónRiesgoCorrup!$F$11&gt;50,[2]EvaluaciónRiesgoCorrup!$F$11&lt;76,D18=1,E18=5),$E$25,IF(AND(H18&gt;0,[2]EvaluaciónRiesgoCorrup!$F$11&gt;50,[2]EvaluaciónRiesgoCorrup!$F$11&lt;76,D18=1,E18=10),$F$25,IF(AND(H18&gt;0,[2]EvaluaciónRiesgoCorrup!$F$11&gt;50,[2]EvaluaciónRiesgoCorrup!$F$11&lt;76,D18=1,E18=20),$G$25," ")))</f>
        <v xml:space="preserve"> </v>
      </c>
      <c r="AG18" s="29" t="str">
        <f>IF(AND(H18&gt;0,[2]EvaluaciónRiesgoCorrup!$F$11&gt;50,[2]EvaluaciónRiesgoCorrup!$F$11&lt;76,D18=2,E18=5),$E$25,IF(AND(H18&gt;0,[2]EvaluaciónRiesgoCorrup!$F$11&gt;50,[2]EvaluaciónRiesgoCorrup!$F$11&lt;76,D18=2,E18=10),$F$25,IF(AND(H18&gt;0,[2]EvaluaciónRiesgoCorrup!$F$11&gt;50,[2]EvaluaciónRiesgoCorrup!$F$11&lt;76,D18=2,E18=20),$G$25," ")))</f>
        <v xml:space="preserve"> </v>
      </c>
      <c r="AH18" s="29" t="str">
        <f>IF(AND(H18&gt;0,[2]EvaluaciónRiesgoCorrup!$F$11&gt;50,[2]EvaluaciónRiesgoCorrup!$F$11&lt;76,D18=3,E18=5),$E$26,IF(AND(H18&gt;0,[2]EvaluaciónRiesgoCorrup!$F$11&gt;50,[2]EvaluaciónRiesgoCorrup!$F$11&lt;76,D18=3,E18=10),$F$26,IF(AND(H18&gt;0,[2]EvaluaciónRiesgoCorrup!$F$11&gt;50,[2]EvaluaciónRiesgoCorrup!$F$11&lt;76,D18=3,E18=20),$G$26," ")))</f>
        <v xml:space="preserve"> </v>
      </c>
      <c r="AI18" s="29" t="str">
        <f>IF(AND(H18&gt;0,[2]EvaluaciónRiesgoCorrup!$F$11&gt;50,[2]EvaluaciónRiesgoCorrup!$F$11&lt;76,D18=4,E18=5),$E$27,IF(AND(H18&gt;0,[2]EvaluaciónRiesgoCorrup!$F$11&gt;50,[2]EvaluaciónRiesgoCorrup!$F$11&lt;76,D18=4,E18=10),$F$27,IF(AND(H18&gt;0,[2]EvaluaciónRiesgoCorrup!$F$11&gt;50,[2]EvaluaciónRiesgoCorrup!$F$11&lt;76,D18=4,E18=20),$G$27," ")))</f>
        <v xml:space="preserve"> </v>
      </c>
      <c r="AJ18" s="29" t="str">
        <f>IF(AND(H18&gt;0,[2]EvaluaciónRiesgoCorrup!$F$11&gt;50,[2]EvaluaciónRiesgoCorrup!$F$11&lt;76,D18=5,E18=5),$E$28,IF(AND(H18&gt;0,[2]EvaluaciónRiesgoCorrup!$F$11&gt;50,[2]EvaluaciónRiesgoCorrup!$F$11&lt;76,D18=5,E18=10),$F$28,IF(AND(H18&gt;0,[2]EvaluaciónRiesgoCorrup!$F$11&gt;50,[2]EvaluaciónRiesgoCorrup!$F$11&lt;76,D18=5,E18=20),$G$28," ")))</f>
        <v xml:space="preserve"> </v>
      </c>
      <c r="AM18" s="29" t="str">
        <f>IF(AND(H18&gt;0,[2]EvaluaciónRiesgoCorrup!$F$11&lt;51,D18=1,E18=5),$E$25,IF(AND(H18&gt;0,[2]EvaluaciónRiesgoCorrup!$F$11&lt;51,D18=1,E18=10),$F$25,IF(AND(H18&gt;0,[2]EvaluaciónRiesgoCorrup!$F$11&lt;51,D18=1,E18=20),G$25," ")))</f>
        <v xml:space="preserve"> </v>
      </c>
      <c r="AN18" s="29" t="str">
        <f>IF(AND(H18&gt;0,[2]EvaluaciónRiesgoCorrup!$F$11&lt;51,D18=2,E18=5),$E$26,IF(AND(H18&gt;0,[2]EvaluaciónRiesgoCorrup!$F$11&lt;51,D18=2,E18=10),$F$26,IF(AND(H18&gt;0,[2]EvaluaciónRiesgoCorrup!$F$11&lt;51,D18=2,E18=20),G$26," ")))</f>
        <v xml:space="preserve"> </v>
      </c>
      <c r="AO18" s="29" t="str">
        <f>IF(AND(H18&gt;0,[2]EvaluaciónRiesgoCorrup!$F$11&lt;51,D18=3,E18=5),$E$27,IF(AND(H18&gt;0,[2]EvaluaciónRiesgoCorrup!$F$11&lt;51,D18=3,E18=10),$F$27,IF(AND(H18&gt;0,[2]EvaluaciónRiesgoCorrup!$F$11&lt;51,D18=3,E18=20),G$27," ")))</f>
        <v xml:space="preserve"> </v>
      </c>
      <c r="AP18" s="29" t="str">
        <f>IF(AND(H18&gt;0,[2]EvaluaciónRiesgoCorrup!$F$11&lt;51,D18=4,E18=5),$E$28,IF(AND(H18&gt;0,[2]EvaluaciónRiesgoCorrup!$F$11&lt;51,D18=4,E18=10),$F$28,IF(AND(H18&gt;0,[2]EvaluaciónRiesgoCorrup!$F$11&lt;51,D18=4,E18=20),G$28," ")))</f>
        <v xml:space="preserve"> </v>
      </c>
      <c r="AQ18" s="29" t="str">
        <f>IF(AND(H18&gt;0,[2]EvaluaciónRiesgoCorrup!$F$11&lt;51,D18=5,E18=5),$E$29,IF(AND(H18&gt;0,[2]EvaluaciónRiesgoCorrup!$F$11&lt;51,D18=5,E18=10),$F$29,IF(AND(H18&gt;0,[2]EvaluaciónRiesgoCorrup!$F$11&lt;51,D18=5,E18=20),G$29," ")))</f>
        <v xml:space="preserve"> </v>
      </c>
      <c r="AU18" s="29" t="str">
        <f>IF(AND(I18&gt;0,[2]EvaluaciónRiesgoCorrup!$F$11&gt;75,D18=1,E18=5),$E$25,IF(AND(I18&gt;0,[2]EvaluaciónRiesgoCorrup!$F$11&gt;75,D18=1,E18=10),$E$25,IF(AND(I18&gt;0,[2]EvaluaciónRiesgoCorrup!$F$11&gt;75,D18=1,E18=20),$E$25," ")))</f>
        <v xml:space="preserve"> </v>
      </c>
      <c r="AV18" s="29" t="str">
        <f>IF(AND(I18&gt;0,[2]EvaluaciónRiesgoCorrup!$F$11&gt;75,D18=2,E18=5),$E$26,IF(AND(I18&gt;0,[2]EvaluaciónRiesgoCorrup!$F$11&gt;75,D18=2,E18=10),$E$26,IF(AND(I18&gt;0,[2]EvaluaciónRiesgoCorrup!$F$11&gt;75,D18=2,E18=20),$E$26," ")))</f>
        <v xml:space="preserve"> </v>
      </c>
      <c r="AW18" s="29" t="str">
        <f>IF(AND(I18&gt;0,[2]EvaluaciónRiesgoCorrup!$F$11&gt;75,D18=3,E18=5),$E$27,IF(AND(I18&gt;0,[2]EvaluaciónRiesgoCorrup!$F$11&gt;75,D18=3,E18=10),$E$27,IF(AND(I18&gt;0,[2]EvaluaciónRiesgoCorrup!$F$11&gt;75,D18=3,E18=20),$E$27," ")))</f>
        <v xml:space="preserve"> </v>
      </c>
      <c r="AX18" s="29" t="str">
        <f>IF(AND(I18&gt;0,[2]EvaluaciónRiesgoCorrup!$F$11&gt;75,D18=4,E18=5),$E$28,IF(AND(I18&gt;0,[2]EvaluaciónRiesgoCorrup!$F$11&gt;75,D18=4,E18=10),$E$28,IF(AND(I18&gt;0,[2]EvaluaciónRiesgoCorrup!$F$11&gt;75,D18=4,E18=20),$E$28," ")))</f>
        <v xml:space="preserve"> </v>
      </c>
      <c r="AY18" s="29" t="str">
        <f>IF(AND(I18&gt;0,[2]EvaluaciónRiesgoCorrup!$F$11&gt;75,D18=5,E18=5),$E$29,IF(AND(I18&gt;0,[2]EvaluaciónRiesgoCorrup!$F$11&gt;75,D18=5,E18=10),$E$29,IF(AND(I18&gt;0,[2]EvaluaciónRiesgoCorrup!$F$11&gt;75,D18=5,E18=20),$E$29," ")))</f>
        <v xml:space="preserve"> </v>
      </c>
      <c r="BB18" s="29" t="str">
        <f>IF(AND(I18&gt;0,[2]EvaluaciónRiesgoCorrup!$F$11&gt;50,[2]EvaluaciónRiesgoCorrup!$F$11&lt;76,D18=1,E18=5),$E$25,IF(AND(I18&gt;0,[2]EvaluaciónRiesgoCorrup!$F$11&gt;50,[2]EvaluaciónRiesgoCorrup!$F$11&lt;76,D18=1,E18=10),$E$25,IF(AND(I18&gt;0,[2]EvaluaciónRiesgoCorrup!$F$11&gt;50,[2]EvaluaciónRiesgoCorrup!$F$11&lt;76,D18=1,E18=20),$F$25," ")))</f>
        <v xml:space="preserve"> </v>
      </c>
      <c r="BC18" s="29" t="str">
        <f>IF(AND(I18&gt;0,[2]EvaluaciónRiesgoCorrup!$F$11&gt;50,[2]EvaluaciónRiesgoCorrup!$F$11&lt;76,D18=2,E18=5),$E$26,IF(AND(I18&gt;0,[2]EvaluaciónRiesgoCorrup!$F$11&gt;50,[2]EvaluaciónRiesgoCorrup!$F$11&lt;76,D18=2,E18=10),$E$26,IF(AND(I18&gt;0,[2]EvaluaciónRiesgoCorrup!$F$11&gt;50,[2]EvaluaciónRiesgoCorrup!$F$11&lt;76,D18=2,E18=20),$F$26," ")))</f>
        <v xml:space="preserve"> </v>
      </c>
      <c r="BD18" s="29" t="str">
        <f>IF(AND(I18&gt;0,[2]EvaluaciónRiesgoCorrup!$F$11&gt;50,[2]EvaluaciónRiesgoCorrup!$F$11&lt;76,D18=3,E18=5),$E$27,IF(AND(I18&gt;0,[2]EvaluaciónRiesgoCorrup!$F$11&gt;50,[2]EvaluaciónRiesgoCorrup!$F$11&lt;76,D18=3,E18=10),$E$27,IF(AND(I18&gt;0,[2]EvaluaciónRiesgoCorrup!$F$11&gt;50,[2]EvaluaciónRiesgoCorrup!$F$11&lt;76,D18=3,E18=20),$F$27," ")))</f>
        <v xml:space="preserve"> </v>
      </c>
      <c r="BE18" s="29" t="str">
        <f>IF(AND(I18&gt;0,[2]EvaluaciónRiesgoCorrup!$F$11&gt;50,[2]EvaluaciónRiesgoCorrup!$F$11&lt;76,D18=4,E18=5),$E$28,IF(AND(I18&gt;0,[2]EvaluaciónRiesgoCorrup!$F$11&gt;50,[2]EvaluaciónRiesgoCorrup!$F$11&lt;76,D18=4,E18=10),$E$28,IF(AND(I18&gt;0,[2]EvaluaciónRiesgoCorrup!$F$11&gt;50,[2]EvaluaciónRiesgoCorrup!$F$11&lt;76,D18=4,E18=20),$F$28," ")))</f>
        <v xml:space="preserve"> </v>
      </c>
      <c r="BF18" s="29" t="str">
        <f>IF(AND(I18&gt;0,[2]EvaluaciónRiesgoCorrup!$F$11&gt;50,[2]EvaluaciónRiesgoCorrup!$F$11&lt;76,D18=5,E18=5),$E$29,IF(AND(I18&gt;0,[2]EvaluaciónRiesgoCorrup!$F$11&gt;50,[2]EvaluaciónRiesgoCorrup!$F$11&lt;76,D18=5,E18=10),$E$29,IF(AND(I18&gt;0,[2]EvaluaciónRiesgoCorrup!$F$11&gt;50,[2]EvaluaciónRiesgoCorrup!$F$11&lt;76,D18=5,E18=20),$F$29," ")))</f>
        <v xml:space="preserve"> </v>
      </c>
      <c r="BI18" s="29" t="str">
        <f>IF(AND(I18&gt;0,[2]EvaluaciónRiesgoCorrup!$F$11&lt;51,D18=1,E18=5),$E$25,IF(AND(I18&gt;0,[2]EvaluaciónRiesgoCorrup!$F$11&lt;51,D18=1,E18=10),$F$25,IF(AND(I18&gt;0,[2]EvaluaciónRiesgoCorrup!$F$11&lt;51,D18=1,E18=20),$G$25," ")))</f>
        <v xml:space="preserve"> </v>
      </c>
      <c r="BJ18" s="29" t="str">
        <f>IF(AND(I18&gt;0,[2]EvaluaciónRiesgoCorrup!$F$11&lt;51,D18=2,E18=5),$E$26,IF(AND(I18&gt;0,[2]EvaluaciónRiesgoCorrup!$F$11&lt;51,D18=2,E18=10),$F$26,IF(AND(I18&gt;0,[2]EvaluaciónRiesgoCorrup!$F$11&lt;51,D18=2,E18=20),$G$26," ")))</f>
        <v xml:space="preserve"> </v>
      </c>
      <c r="BK18" s="29" t="str">
        <f>IF(AND(I18&gt;0,[2]EvaluaciónRiesgoCorrup!$F$11&lt;51,D18=3,E18=5),$E$27,IF(AND(I18&gt;0,[2]EvaluaciónRiesgoCorrup!$F$11&lt;51,D18=3,E18=10),$F$27,IF(AND(I18&gt;0,[2]EvaluaciónRiesgoCorrup!$F$11&lt;51,D18=3,E18=20),$G$27," ")))</f>
        <v xml:space="preserve"> </v>
      </c>
      <c r="BL18" s="29" t="str">
        <f>IF(AND(I18&gt;0,[2]EvaluaciónRiesgoCorrup!$F$11&lt;51,D18=4,E18=5),$E$28,IF(AND(I18&gt;0,[2]EvaluaciónRiesgoCorrup!$F$11&lt;51,D18=4,E18=10),$F$28,IF(AND(I18&gt;0,[2]EvaluaciónRiesgoCorrup!$F$11&lt;51,D18=4,E18=20),$G$28," ")))</f>
        <v xml:space="preserve"> </v>
      </c>
      <c r="BM18" s="29" t="str">
        <f>IF(AND(I18&gt;0,[2]EvaluaciónRiesgoCorrup!$F$11&lt;51,D18=5,E18=5),$E$29,IF(AND(I18&gt;0,[2]EvaluaciónRiesgoCorrup!$F$11&lt;51,D18=5,E18=10),$F$29,IF(AND(I18&gt;0,[2]EvaluaciónRiesgoCorrup!$F$11&lt;51,D18=5,E18=20),$G$29," ")))</f>
        <v xml:space="preserve"> </v>
      </c>
    </row>
    <row r="19" spans="1:65" ht="153.75" customHeight="1" x14ac:dyDescent="0.3">
      <c r="A19" s="65">
        <f>[2]IdentRiesgo!A8</f>
        <v>0</v>
      </c>
      <c r="B19" s="22">
        <f>[2]IdentRiesgo!B8</f>
        <v>0</v>
      </c>
      <c r="C19" s="22">
        <f>[2]IdentRiesgo!D8</f>
        <v>0</v>
      </c>
      <c r="D19" s="23" t="str">
        <f>IF([2]AnálisisRiesgo!B11&gt;0,5,IF([2]AnálisisRiesgo!C11&gt;0,4,IF([2]AnálisisRiesgo!D11&gt;0,3,IF([2]AnálisisRiesgo!E11&gt;0,2,IF([2]AnálisisRiesgo!F11&gt;0,1,"")))))</f>
        <v/>
      </c>
      <c r="E19" s="23" t="str">
        <f>IF([2]AnálisisRiesgo!G11&gt;0,5,IF([2]AnálisisRiesgo!H11&gt;0,4,IF([2]AnálisisRiesgo!I11&gt;0,3,IF([2]AnálisisRiesgo!J11&gt;0,2,IF([2]AnálisisRiesgo!K11&gt;0,1,IF([2]AnálisisRiesgo!L11&gt;0,20,IF([2]AnálisisRiesgo!M11&gt;0,10,IF([2]AnálisisRiesgo!N11&gt;0,5,""))))))))</f>
        <v/>
      </c>
      <c r="F19" s="23" t="str">
        <f t="shared" si="0"/>
        <v xml:space="preserve">     </v>
      </c>
      <c r="G19" s="24"/>
      <c r="H19" s="25"/>
      <c r="I19" s="26"/>
      <c r="J19" s="23" t="str">
        <f t="shared" si="1"/>
        <v xml:space="preserve">                              </v>
      </c>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IF(AND(H19&gt;0,[2]EvaluaciónRiesgoCorrup!$F$11&gt;75,D19=1,E19=5),$E$25,IF(AND(H19&gt;0,[2]EvaluaciónRiesgoCorrup!$F$11&gt;75,D19=1,E19=10),$F$25,IF(AND(H19&gt;0,[2]EvaluaciónRiesgoCorrup!$F$11&gt;75,D19=1,E19=20),$G$25," ")))</f>
        <v xml:space="preserve"> </v>
      </c>
      <c r="AA19" s="29" t="str">
        <f>IF(AND(H19&gt;0,[2]EvaluaciónRiesgoCorrup!$F$11&gt;75,D19=2,E19=5),$E$25,IF(AND(H19&gt;0,[2]EvaluaciónRiesgoCorrup!$F$11&gt;75,D19=2,E19=10),$F$25,IF(AND(H19&gt;0,[2]EvaluaciónRiesgoCorrup!$F$11&gt;75,D19=2,E19=20),$G$25," ")))</f>
        <v xml:space="preserve"> </v>
      </c>
      <c r="AB19" s="29" t="str">
        <f>IF(AND(H19&gt;0,[2]EvaluaciónRiesgoCorrup!$F$11&gt;75,D19=3,E19=5),$E$25,IF(AND(H19&gt;0,[2]EvaluaciónRiesgoCorrup!$F$11&gt;75,D19=3,E19=10),$F$25,IF(AND(H19&gt;0,[2]EvaluaciónRiesgoCorrup!$F$11&gt;75,D19=3,E19=20),$G$25," ")))</f>
        <v xml:space="preserve"> </v>
      </c>
      <c r="AC19" s="29" t="str">
        <f>IF(AND(H19&gt;0,[2]EvaluaciónRiesgoCorrup!$F$11&gt;75,D19=4,E19=5),$E$26,IF(AND(H19&gt;0,[2]EvaluaciónRiesgoCorrup!$F$11&gt;75,D19=4,E19=10),$F$26,IF(AND(H19&gt;0,[2]EvaluaciónRiesgoCorrup!$F$11&gt;75,D19=4,E19=20),$G$26," ")))</f>
        <v xml:space="preserve"> </v>
      </c>
      <c r="AD19" s="29" t="str">
        <f>IF(AND(H19&gt;0,[2]EvaluaciónRiesgoCorrup!$F$11&gt;75,D19=5,E19=5),$E$27,IF(AND(H19&gt;0,[2]EvaluaciónRiesgoCorrup!$F$11&gt;75,D19=5,E19=10),$F$27,IF(AND(H19&gt;0,[2]EvaluaciónRiesgoCorrup!$F$11&gt;75,D19=5,E19=20),$G$27," ")))</f>
        <v xml:space="preserve"> </v>
      </c>
      <c r="AF19" s="29" t="str">
        <f>IF(AND(H19&gt;0,[2]EvaluaciónRiesgoCorrup!$F$11&gt;50,[2]EvaluaciónRiesgoCorrup!$F$11&lt;76,D19=1,E19=5),$E$25,IF(AND(H19&gt;0,[2]EvaluaciónRiesgoCorrup!$F$11&gt;50,[2]EvaluaciónRiesgoCorrup!$F$11&lt;76,D19=1,E19=10),$F$25,IF(AND(H19&gt;0,[2]EvaluaciónRiesgoCorrup!$F$11&gt;50,[2]EvaluaciónRiesgoCorrup!$F$11&lt;76,D19=1,E19=20),$G$25," ")))</f>
        <v xml:space="preserve"> </v>
      </c>
      <c r="AG19" s="29" t="str">
        <f>IF(AND(H19&gt;0,[2]EvaluaciónRiesgoCorrup!$F$11&gt;50,[2]EvaluaciónRiesgoCorrup!$F$11&lt;76,D19=2,E19=5),$E$25,IF(AND(H19&gt;0,[2]EvaluaciónRiesgoCorrup!$F$11&gt;50,[2]EvaluaciónRiesgoCorrup!$F$11&lt;76,D19=2,E19=10),$F$25,IF(AND(H19&gt;0,[2]EvaluaciónRiesgoCorrup!$F$11&gt;50,[2]EvaluaciónRiesgoCorrup!$F$11&lt;76,D19=2,E19=20),$G$25," ")))</f>
        <v xml:space="preserve"> </v>
      </c>
      <c r="AH19" s="29" t="str">
        <f>IF(AND(H19&gt;0,[2]EvaluaciónRiesgoCorrup!$F$11&gt;50,[2]EvaluaciónRiesgoCorrup!$F$11&lt;76,D19=3,E19=5),$E$26,IF(AND(H19&gt;0,[2]EvaluaciónRiesgoCorrup!$F$11&gt;50,[2]EvaluaciónRiesgoCorrup!$F$11&lt;76,D19=3,E19=10),$F$26,IF(AND(H19&gt;0,[2]EvaluaciónRiesgoCorrup!$F$11&gt;50,[2]EvaluaciónRiesgoCorrup!$F$11&lt;76,D19=3,E19=20),$G$26," ")))</f>
        <v xml:space="preserve"> </v>
      </c>
      <c r="AI19" s="29" t="str">
        <f>IF(AND(H19&gt;0,[2]EvaluaciónRiesgoCorrup!$F$11&gt;50,[2]EvaluaciónRiesgoCorrup!$F$11&lt;76,D19=4,E19=5),$E$27,IF(AND(H19&gt;0,[2]EvaluaciónRiesgoCorrup!$F$11&gt;50,[2]EvaluaciónRiesgoCorrup!$F$11&lt;76,D19=4,E19=10),$F$27,IF(AND(H19&gt;0,[2]EvaluaciónRiesgoCorrup!$F$11&gt;50,[2]EvaluaciónRiesgoCorrup!$F$11&lt;76,D19=4,E19=20),$G$27," ")))</f>
        <v xml:space="preserve"> </v>
      </c>
      <c r="AJ19" s="29" t="str">
        <f>IF(AND(H19&gt;0,[2]EvaluaciónRiesgoCorrup!$F$11&gt;50,[2]EvaluaciónRiesgoCorrup!$F$11&lt;76,D19=5,E19=5),$E$28,IF(AND(H19&gt;0,[2]EvaluaciónRiesgoCorrup!$F$11&gt;50,[2]EvaluaciónRiesgoCorrup!$F$11&lt;76,D19=5,E19=10),$F$28,IF(AND(H19&gt;0,[2]EvaluaciónRiesgoCorrup!$F$11&gt;50,[2]EvaluaciónRiesgoCorrup!$F$11&lt;76,D19=5,E19=20),$G$28," ")))</f>
        <v xml:space="preserve"> </v>
      </c>
      <c r="AM19" s="29" t="str">
        <f>IF(AND(H19&gt;0,[2]EvaluaciónRiesgoCorrup!$F$11&lt;51,D19=1,E19=5),$E$25,IF(AND(H19&gt;0,[2]EvaluaciónRiesgoCorrup!$F$11&lt;51,D19=1,E19=10),$F$25,IF(AND(H19&gt;0,[2]EvaluaciónRiesgoCorrup!$F$11&lt;51,D19=1,E19=20),G$25," ")))</f>
        <v xml:space="preserve"> </v>
      </c>
      <c r="AN19" s="29" t="str">
        <f>IF(AND(H19&gt;0,[2]EvaluaciónRiesgoCorrup!$F$11&lt;51,D19=2,E19=5),$E$26,IF(AND(H19&gt;0,[2]EvaluaciónRiesgoCorrup!$F$11&lt;51,D19=2,E19=10),$F$26,IF(AND(H19&gt;0,[2]EvaluaciónRiesgoCorrup!$F$11&lt;51,D19=2,E19=20),G$26," ")))</f>
        <v xml:space="preserve"> </v>
      </c>
      <c r="AO19" s="29" t="str">
        <f>IF(AND(H19&gt;0,[2]EvaluaciónRiesgoCorrup!$F$11&lt;51,D19=3,E19=5),$E$27,IF(AND(H19&gt;0,[2]EvaluaciónRiesgoCorrup!$F$11&lt;51,D19=3,E19=10),$F$27,IF(AND(H19&gt;0,[2]EvaluaciónRiesgoCorrup!$F$11&lt;51,D19=3,E19=20),G$27," ")))</f>
        <v xml:space="preserve"> </v>
      </c>
      <c r="AP19" s="29" t="str">
        <f>IF(AND(H19&gt;0,[2]EvaluaciónRiesgoCorrup!$F$11&lt;51,D19=4,E19=5),$E$28,IF(AND(H19&gt;0,[2]EvaluaciónRiesgoCorrup!$F$11&lt;51,D19=4,E19=10),$F$28,IF(AND(H19&gt;0,[2]EvaluaciónRiesgoCorrup!$F$11&lt;51,D19=4,E19=20),G$28," ")))</f>
        <v xml:space="preserve"> </v>
      </c>
      <c r="AQ19" s="29" t="str">
        <f>IF(AND(H19&gt;0,[2]EvaluaciónRiesgoCorrup!$F$11&lt;51,D19=5,E19=5),$E$29,IF(AND(H19&gt;0,[2]EvaluaciónRiesgoCorrup!$F$11&lt;51,D19=5,E19=10),$F$29,IF(AND(H19&gt;0,[2]EvaluaciónRiesgoCorrup!$F$11&lt;51,D19=5,E19=20),G$29," ")))</f>
        <v xml:space="preserve"> </v>
      </c>
      <c r="AU19" s="29" t="str">
        <f>IF(AND(I19&gt;0,[2]EvaluaciónRiesgoCorrup!$F$11&gt;75,D19=1,E19=5),$E$25,IF(AND(I19&gt;0,[2]EvaluaciónRiesgoCorrup!$F$11&gt;75,D19=1,E19=10),$E$25,IF(AND(I19&gt;0,[2]EvaluaciónRiesgoCorrup!$F$11&gt;75,D19=1,E19=20),$E$25," ")))</f>
        <v xml:space="preserve"> </v>
      </c>
      <c r="AV19" s="29" t="str">
        <f>IF(AND(I19&gt;0,[2]EvaluaciónRiesgoCorrup!$F$11&gt;75,D19=2,E19=5),$E$26,IF(AND(I19&gt;0,[2]EvaluaciónRiesgoCorrup!$F$11&gt;75,D19=2,E19=10),$E$26,IF(AND(I19&gt;0,[2]EvaluaciónRiesgoCorrup!$F$11&gt;75,D19=2,E19=20),$E$26," ")))</f>
        <v xml:space="preserve"> </v>
      </c>
      <c r="AW19" s="29" t="str">
        <f>IF(AND(I19&gt;0,[2]EvaluaciónRiesgoCorrup!$F$11&gt;75,D19=3,E19=5),$E$27,IF(AND(I19&gt;0,[2]EvaluaciónRiesgoCorrup!$F$11&gt;75,D19=3,E19=10),$E$27,IF(AND(I19&gt;0,[2]EvaluaciónRiesgoCorrup!$F$11&gt;75,D19=3,E19=20),$E$27," ")))</f>
        <v xml:space="preserve"> </v>
      </c>
      <c r="AX19" s="29" t="str">
        <f>IF(AND(I19&gt;0,[2]EvaluaciónRiesgoCorrup!$F$11&gt;75,D19=4,E19=5),$E$28,IF(AND(I19&gt;0,[2]EvaluaciónRiesgoCorrup!$F$11&gt;75,D19=4,E19=10),$E$28,IF(AND(I19&gt;0,[2]EvaluaciónRiesgoCorrup!$F$11&gt;75,D19=4,E19=20),$E$28," ")))</f>
        <v xml:space="preserve"> </v>
      </c>
      <c r="AY19" s="29" t="str">
        <f>IF(AND(I19&gt;0,[2]EvaluaciónRiesgoCorrup!$F$11&gt;75,D19=5,E19=5),$E$29,IF(AND(I19&gt;0,[2]EvaluaciónRiesgoCorrup!$F$11&gt;75,D19=5,E19=10),$E$29,IF(AND(I19&gt;0,[2]EvaluaciónRiesgoCorrup!$F$11&gt;75,D19=5,E19=20),$E$29," ")))</f>
        <v xml:space="preserve"> </v>
      </c>
      <c r="BB19" s="29" t="str">
        <f>IF(AND(I19&gt;0,[2]EvaluaciónRiesgoCorrup!$F$11&gt;50,[2]EvaluaciónRiesgoCorrup!$F$11&lt;76,D19=1,E19=5),$E$25,IF(AND(I19&gt;0,[2]EvaluaciónRiesgoCorrup!$F$11&gt;50,[2]EvaluaciónRiesgoCorrup!$F$11&lt;76,D19=1,E19=10),$E$25,IF(AND(I19&gt;0,[2]EvaluaciónRiesgoCorrup!$F$11&gt;50,[2]EvaluaciónRiesgoCorrup!$F$11&lt;76,D19=1,E19=20),$F$25," ")))</f>
        <v xml:space="preserve"> </v>
      </c>
      <c r="BC19" s="29" t="str">
        <f>IF(AND(I19&gt;0,[2]EvaluaciónRiesgoCorrup!$F$11&gt;50,[2]EvaluaciónRiesgoCorrup!$F$11&lt;76,D19=2,E19=5),$E$26,IF(AND(I19&gt;0,[2]EvaluaciónRiesgoCorrup!$F$11&gt;50,[2]EvaluaciónRiesgoCorrup!$F$11&lt;76,D19=2,E19=10),$E$26,IF(AND(I19&gt;0,[2]EvaluaciónRiesgoCorrup!$F$11&gt;50,[2]EvaluaciónRiesgoCorrup!$F$11&lt;76,D19=2,E19=20),$F$26," ")))</f>
        <v xml:space="preserve"> </v>
      </c>
      <c r="BD19" s="29" t="str">
        <f>IF(AND(I19&gt;0,[2]EvaluaciónRiesgoCorrup!$F$11&gt;50,[2]EvaluaciónRiesgoCorrup!$F$11&lt;76,D19=3,E19=5),$E$27,IF(AND(I19&gt;0,[2]EvaluaciónRiesgoCorrup!$F$11&gt;50,[2]EvaluaciónRiesgoCorrup!$F$11&lt;76,D19=3,E19=10),$E$27,IF(AND(I19&gt;0,[2]EvaluaciónRiesgoCorrup!$F$11&gt;50,[2]EvaluaciónRiesgoCorrup!$F$11&lt;76,D19=3,E19=20),$F$27," ")))</f>
        <v xml:space="preserve"> </v>
      </c>
      <c r="BE19" s="29" t="str">
        <f>IF(AND(I19&gt;0,[2]EvaluaciónRiesgoCorrup!$F$11&gt;50,[2]EvaluaciónRiesgoCorrup!$F$11&lt;76,D19=4,E19=5),$E$28,IF(AND(I19&gt;0,[2]EvaluaciónRiesgoCorrup!$F$11&gt;50,[2]EvaluaciónRiesgoCorrup!$F$11&lt;76,D19=4,E19=10),$E$28,IF(AND(I19&gt;0,[2]EvaluaciónRiesgoCorrup!$F$11&gt;50,[2]EvaluaciónRiesgoCorrup!$F$11&lt;76,D19=4,E19=20),$F$28," ")))</f>
        <v xml:space="preserve"> </v>
      </c>
      <c r="BF19" s="29" t="str">
        <f>IF(AND(I19&gt;0,[2]EvaluaciónRiesgoCorrup!$F$11&gt;50,[2]EvaluaciónRiesgoCorrup!$F$11&lt;76,D19=5,E19=5),$E$29,IF(AND(I19&gt;0,[2]EvaluaciónRiesgoCorrup!$F$11&gt;50,[2]EvaluaciónRiesgoCorrup!$F$11&lt;76,D19=5,E19=10),$E$29,IF(AND(I19&gt;0,[2]EvaluaciónRiesgoCorrup!$F$11&gt;50,[2]EvaluaciónRiesgoCorrup!$F$11&lt;76,D19=5,E19=20),$F$29," ")))</f>
        <v xml:space="preserve"> </v>
      </c>
      <c r="BI19" s="29" t="str">
        <f>IF(AND(I19&gt;0,[2]EvaluaciónRiesgoCorrup!$F$11&lt;51,D19=1,E19=5),$E$25,IF(AND(I19&gt;0,[2]EvaluaciónRiesgoCorrup!$F$11&lt;51,D19=1,E19=10),$F$25,IF(AND(I19&gt;0,[2]EvaluaciónRiesgoCorrup!$F$11&lt;51,D19=1,E19=20),$G$25," ")))</f>
        <v xml:space="preserve"> </v>
      </c>
      <c r="BJ19" s="29" t="str">
        <f>IF(AND(I19&gt;0,[2]EvaluaciónRiesgoCorrup!$F$11&lt;51,D19=2,E19=5),$E$26,IF(AND(I19&gt;0,[2]EvaluaciónRiesgoCorrup!$F$11&lt;51,D19=2,E19=10),$F$26,IF(AND(I19&gt;0,[2]EvaluaciónRiesgoCorrup!$F$11&lt;51,D19=2,E19=20),$G$26," ")))</f>
        <v xml:space="preserve"> </v>
      </c>
      <c r="BK19" s="29" t="str">
        <f>IF(AND(I19&gt;0,[2]EvaluaciónRiesgoCorrup!$F$11&lt;51,D19=3,E19=5),$E$27,IF(AND(I19&gt;0,[2]EvaluaciónRiesgoCorrup!$F$11&lt;51,D19=3,E19=10),$F$27,IF(AND(I19&gt;0,[2]EvaluaciónRiesgoCorrup!$F$11&lt;51,D19=3,E19=20),$G$27," ")))</f>
        <v xml:space="preserve"> </v>
      </c>
      <c r="BL19" s="29" t="str">
        <f>IF(AND(I19&gt;0,[2]EvaluaciónRiesgoCorrup!$F$11&lt;51,D19=4,E19=5),$E$28,IF(AND(I19&gt;0,[2]EvaluaciónRiesgoCorrup!$F$11&lt;51,D19=4,E19=10),$F$28,IF(AND(I19&gt;0,[2]EvaluaciónRiesgoCorrup!$F$11&lt;51,D19=4,E19=20),$G$28," ")))</f>
        <v xml:space="preserve"> </v>
      </c>
      <c r="BM19" s="29" t="str">
        <f>IF(AND(I19&gt;0,[2]EvaluaciónRiesgoCorrup!$F$11&lt;51,D19=5,E19=5),$E$29,IF(AND(I19&gt;0,[2]EvaluaciónRiesgoCorrup!$F$11&lt;51,D19=5,E19=10),$F$29,IF(AND(I19&gt;0,[2]EvaluaciónRiesgoCorrup!$F$11&lt;51,D19=5,E19=20),$G$29," ")))</f>
        <v xml:space="preserve"> </v>
      </c>
    </row>
    <row r="20" spans="1:65" ht="13.9" x14ac:dyDescent="0.3">
      <c r="A20" s="65"/>
      <c r="B20" s="22"/>
      <c r="C20" s="22"/>
    </row>
    <row r="21" spans="1:65" ht="13.9" x14ac:dyDescent="0.3">
      <c r="A21" s="29"/>
      <c r="B21" s="31"/>
      <c r="C21" s="31"/>
    </row>
    <row r="22" spans="1:65" ht="15" thickBot="1" x14ac:dyDescent="0.3">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3:D24"/>
    <mergeCell ref="E23:G23"/>
    <mergeCell ref="K15:M15"/>
  </mergeCells>
  <conditionalFormatting sqref="F17:F19 J17:J19">
    <cfRule type="containsText" dxfId="59" priority="1" operator="containsText" text="E">
      <formula>NOT(ISERROR(SEARCH("E",F17)))</formula>
    </cfRule>
    <cfRule type="containsText" dxfId="58" priority="2" operator="containsText" text="M">
      <formula>NOT(ISERROR(SEARCH("M",F17)))</formula>
    </cfRule>
    <cfRule type="containsText" dxfId="57" priority="3" operator="containsText" text="A">
      <formula>NOT(ISERROR(SEARCH("A",F17)))</formula>
    </cfRule>
    <cfRule type="containsText" dxfId="56"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view="pageBreakPreview" zoomScale="30" zoomScaleNormal="70" zoomScaleSheetLayoutView="3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20.85546875" style="5" customWidth="1"/>
    <col min="9" max="9" width="18.5703125" style="2" customWidth="1"/>
    <col min="10" max="10" width="21.7109375" style="2" customWidth="1"/>
    <col min="11" max="11" width="19.85546875" style="2" customWidth="1"/>
    <col min="12" max="12" width="35.140625" style="2" customWidth="1"/>
    <col min="13" max="13" width="24.5703125"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[3]IdentRiesgo!B2</f>
        <v>Generación de Datos e Información Hidrometeorológica y Ambiental para la toma de decisiones</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[3]IdentRiesgo!B3</f>
        <v>Generar datos e información hidrometeorologica y ambiental que apoyen la investigación y el conocimiento como soporte para la toma de decisiones</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119</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53"/>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53" t="s">
        <v>28</v>
      </c>
      <c r="E16" s="53" t="s">
        <v>12</v>
      </c>
      <c r="F16" s="53" t="s">
        <v>29</v>
      </c>
      <c r="G16" s="107"/>
      <c r="H16" s="19" t="s">
        <v>28</v>
      </c>
      <c r="I16" s="19" t="s">
        <v>12</v>
      </c>
      <c r="J16" s="54" t="s">
        <v>29</v>
      </c>
      <c r="K16" s="53" t="s">
        <v>30</v>
      </c>
      <c r="L16" s="53" t="s">
        <v>26</v>
      </c>
      <c r="M16" s="53" t="s">
        <v>31</v>
      </c>
      <c r="N16" s="110"/>
      <c r="O16" s="110"/>
      <c r="P16" s="110"/>
      <c r="Q16" s="110"/>
    </row>
    <row r="17" spans="1:65" ht="153.75" customHeight="1" x14ac:dyDescent="0.25">
      <c r="A17" s="55" t="str">
        <f>[3]IdentRiesgo!A6</f>
        <v>Tiempo de resago de información en los procesos de verificación y validación.
Deficiencia en los procesos y procedimientos para la gestión de datos e información.</v>
      </c>
      <c r="B17" s="22" t="str">
        <f>[3]IdentRiesgo!B6</f>
        <v>Suministro información hidrometeorológica y ambiental para beneficio particular.</v>
      </c>
      <c r="C17" s="22" t="str">
        <f>[3]IdentRiesgo!D6</f>
        <v xml:space="preserve">Divulgación de información sin verificación y validación.
Procesos disciplinarios.
Acciones legales contra el Instituto .  
Perdida de credibilidad del Instituto. </v>
      </c>
      <c r="D17" s="23">
        <f>IF([3]AnálisisRiesgo!B9&gt;0,5,IF([3]AnálisisRiesgo!C9&gt;0,4,IF([3]AnálisisRiesgo!D9&gt;0,3,IF([3]AnálisisRiesgo!E9&gt;0,2,IF([3]AnálisisRiesgo!F9&gt;0,1,"")))))</f>
        <v>2</v>
      </c>
      <c r="E17" s="23">
        <f>IF([3]AnálisisRiesgo!G9&gt;0,5,IF([3]AnálisisRiesgo!H9&gt;0,4,IF([3]AnálisisRiesgo!I9&gt;0,3,IF([3]AnálisisRiesgo!J9&gt;0,2,IF([3]AnálisisRiesgo!K9&gt;0,1,IF([3]AnálisisRiesgo!L9&gt;0,20,IF([3]AnálisisRiesgo!M9&gt;0,10,IF([3]AnálisisRiesgo!N9&gt;0,5,""))))))))</f>
        <v>5</v>
      </c>
      <c r="F17" s="23" t="str">
        <f>CONCATENATE(S17,T17,U17,V17,W17)</f>
        <v xml:space="preserve"> B   </v>
      </c>
      <c r="G17" s="23" t="s">
        <v>120</v>
      </c>
      <c r="H17" s="25" t="s">
        <v>83</v>
      </c>
      <c r="I17" s="26"/>
      <c r="J17" s="23" t="str">
        <f>CONCATENATE(Z17,AA17,AB17,AC17,AD17,AF17,AG17,AH17,AI17,AJ17,AM17,AN17,AO17,AP17,AQ17,AU17,AV17,AW17,AX17,AY17,BB17,BC17,BD17,BE17,BF17,BI17,BJ17,BK17,BL17,BM17)</f>
        <v xml:space="preserve"> B                            </v>
      </c>
      <c r="K17" s="23" t="s">
        <v>121</v>
      </c>
      <c r="L17" s="23" t="s">
        <v>122</v>
      </c>
      <c r="M17" s="23" t="s">
        <v>123</v>
      </c>
      <c r="N17" s="27"/>
      <c r="O17" s="27"/>
      <c r="P17" s="27"/>
      <c r="Q17" s="29"/>
      <c r="S17" s="29" t="str">
        <f>IF(AND(D17=1,E17=5),$E$25,IF(AND(D17=1,E17=10),$F$25,IF(AND(D17=1,E17=20),$G$25," ")))</f>
        <v xml:space="preserve"> </v>
      </c>
      <c r="T17" s="29" t="str">
        <f>IF(AND(D17=2,E17=5),$E$26,IF(AND(D17=2,E17=10),$F$26,IF(AND(D17=2,E17=20),$G$26," ")))</f>
        <v>B</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IF(AND(H17&gt;0,[3]EvaluaciónRiesgoCorrup!$F$11&gt;75,D17=1,E17=5),$E$25,IF(AND(H17&gt;0,[3]EvaluaciónRiesgoCorrup!$F$11&gt;75,D17=1,E17=10),$F$25,IF(AND(H17&gt;0,[3]EvaluaciónRiesgoCorrup!$F$11&gt;75,D17=1,E17=20),$G$25," ")))</f>
        <v xml:space="preserve"> </v>
      </c>
      <c r="AA17" s="29" t="str">
        <f>IF(AND(H17&gt;0,[3]EvaluaciónRiesgoCorrup!$F$11&gt;75,D17=2,E17=5),$E$25,IF(AND(H17&gt;0,[3]EvaluaciónRiesgoCorrup!$F$11&gt;75,D17=2,E17=10),$F$25,IF(AND(H17&gt;0,[3]EvaluaciónRiesgoCorrup!$F$11&gt;75,D17=2,E17=20),$G$25," ")))</f>
        <v>B</v>
      </c>
      <c r="AB17" s="29" t="str">
        <f>IF(AND(H17&gt;0,[3]EvaluaciónRiesgoCorrup!$F$11&gt;75,D17=3,E17=5),$E$25,IF(AND(H17&gt;0,[3]EvaluaciónRiesgoCorrup!$F$11&gt;75,D17=3,E17=10),$F$25,IF(AND(H17&gt;0,[3]EvaluaciónRiesgoCorrup!$F$11&gt;75,D17=3,E17=20),$G$25," ")))</f>
        <v xml:space="preserve"> </v>
      </c>
      <c r="AC17" s="29" t="str">
        <f>IF(AND(H17&gt;0,[3]EvaluaciónRiesgoCorrup!$F$11&gt;75,D17=4,E17=5),$E$26,IF(AND(H17&gt;0,[3]EvaluaciónRiesgoCorrup!$F$11&gt;75,D17=4,E17=10),$F$26,IF(AND(H17&gt;0,[3]EvaluaciónRiesgoCorrup!$F$11&gt;75,D17=4,E17=20),$G$26," ")))</f>
        <v xml:space="preserve"> </v>
      </c>
      <c r="AD17" s="29" t="str">
        <f>IF(AND(H17&gt;0,[3]EvaluaciónRiesgoCorrup!$F$11&gt;75,D17=5,E17=5),$E$27,IF(AND(H17&gt;0,[3]EvaluaciónRiesgoCorrup!$F$11&gt;75,D17=5,E17=10),$F$27,IF(AND(H17&gt;0,[3]EvaluaciónRiesgoCorrup!$F$11&gt;75,D17=5,E17=20),$G$27," ")))</f>
        <v xml:space="preserve"> </v>
      </c>
      <c r="AE17" s="30" t="s">
        <v>36</v>
      </c>
      <c r="AF17" s="29" t="str">
        <f>IF(AND(H17&gt;0,[3]EvaluaciónRiesgoCorrup!$F$11&gt;50,[3]EvaluaciónRiesgoCorrup!$F$11&lt;76,D17=1,E17=5),$E$25,IF(AND(H17&gt;0,[3]EvaluaciónRiesgoCorrup!$F$11&gt;50,[3]EvaluaciónRiesgoCorrup!$F$11&lt;76,D17=1,E17=10),$F$25,IF(AND(H17&gt;0,[3]EvaluaciónRiesgoCorrup!$F$11&gt;50,[3]EvaluaciónRiesgoCorrup!$F$11&lt;76,D17=1,E17=20),$G$25," ")))</f>
        <v xml:space="preserve"> </v>
      </c>
      <c r="AG17" s="29" t="str">
        <f>IF(AND(H17&gt;0,[3]EvaluaciónRiesgoCorrup!$F$11&gt;50,[3]EvaluaciónRiesgoCorrup!$F$11&lt;76,D17=2,E17=5),$E$25,IF(AND(H17&gt;0,[3]EvaluaciónRiesgoCorrup!$F$11&gt;50,[3]EvaluaciónRiesgoCorrup!$F$11&lt;76,D17=2,E17=10),$F$25,IF(AND(H17&gt;0,[3]EvaluaciónRiesgoCorrup!$F$11&gt;50,[3]EvaluaciónRiesgoCorrup!$F$11&lt;76,D17=2,E17=20),$G$25," ")))</f>
        <v xml:space="preserve"> </v>
      </c>
      <c r="AH17" s="29" t="str">
        <f>IF(AND(H17&gt;0,[3]EvaluaciónRiesgoCorrup!$F$11&gt;50,[3]EvaluaciónRiesgoCorrup!$F$11&lt;76,D17=3,E17=5),$E$26,IF(AND(H17&gt;0,[3]EvaluaciónRiesgoCorrup!$F$11&gt;50,[3]EvaluaciónRiesgoCorrup!$F$11&lt;76,D17=3,E17=10),$F$26,IF(AND(H17&gt;0,[3]EvaluaciónRiesgoCorrup!$F$11&gt;50,[3]EvaluaciónRiesgoCorrup!$F$11&lt;76,D17=3,E17=20),$G$26," ")))</f>
        <v xml:space="preserve"> </v>
      </c>
      <c r="AI17" s="29" t="str">
        <f>IF(AND(H17&gt;0,[3]EvaluaciónRiesgoCorrup!$F$11&gt;50,[3]EvaluaciónRiesgoCorrup!$F$11&lt;76,D17=4,E17=5),$E$27,IF(AND(H17&gt;0,[3]EvaluaciónRiesgoCorrup!$F$11&gt;50,[3]EvaluaciónRiesgoCorrup!$F$11&lt;76,D17=4,E17=10),$F$27,IF(AND(H17&gt;0,[3]EvaluaciónRiesgoCorrup!$F$11&gt;50,[3]EvaluaciónRiesgoCorrup!$F$11&lt;76,D17=4,E17=20),$G$27," ")))</f>
        <v xml:space="preserve"> </v>
      </c>
      <c r="AJ17" s="29" t="str">
        <f>IF(AND(H17&gt;0,[3]EvaluaciónRiesgoCorrup!$F$11&gt;50,[3]EvaluaciónRiesgoCorrup!$F$11&lt;76,D17=5,E17=5),$E$28,IF(AND(H17&gt;0,[3]EvaluaciónRiesgoCorrup!$F$11&gt;50,[3]EvaluaciónRiesgoCorrup!$F$11&lt;76,D17=5,E17=10),$F$28,IF(AND(H17&gt;0,[3]EvaluaciónRiesgoCorrup!$F$11&gt;50,[3]EvaluaciónRiesgoCorrup!$F$11&lt;76,D17=5,E17=20),$G$28," ")))</f>
        <v xml:space="preserve"> </v>
      </c>
      <c r="AL17" s="30" t="s">
        <v>37</v>
      </c>
      <c r="AM17" s="29" t="str">
        <f>IF(AND(H17&gt;0,[3]EvaluaciónRiesgoCorrup!$F$11&lt;51,D17=1,E17=5),$E$25,IF(AND(H17&gt;0,[3]EvaluaciónRiesgoCorrup!$F$11&lt;51,D17=1,E17=10),$F$25,IF(AND(H17&gt;0,[3]EvaluaciónRiesgoCorrup!$F$11&lt;51,D17=1,E17=20),G$25," ")))</f>
        <v xml:space="preserve"> </v>
      </c>
      <c r="AN17" s="29" t="str">
        <f>IF(AND(H17&gt;0,[3]EvaluaciónRiesgoCorrup!$F$11&lt;51,D17=2,E17=5),$E$26,IF(AND(H17&gt;0,[3]EvaluaciónRiesgoCorrup!$F$11&lt;51,D17=2,E17=10),$F$26,IF(AND(H17&gt;0,[3]EvaluaciónRiesgoCorrup!$F$11&lt;51,D17=2,E17=20),G$26," ")))</f>
        <v xml:space="preserve"> </v>
      </c>
      <c r="AO17" s="29" t="str">
        <f>IF(AND(H17&gt;0,[3]EvaluaciónRiesgoCorrup!$F$11&lt;51,D17=3,E17=5),$E$27,IF(AND(H17&gt;0,[3]EvaluaciónRiesgoCorrup!$F$11&lt;51,D17=3,E17=10),$F$27,IF(AND(H17&gt;0,[3]EvaluaciónRiesgoCorrup!$F$11&lt;51,D17=3,E17=20),G$27," ")))</f>
        <v xml:space="preserve"> </v>
      </c>
      <c r="AP17" s="29" t="str">
        <f>IF(AND(H17&gt;0,[3]EvaluaciónRiesgoCorrup!$F$11&lt;51,D17=4,E17=5),$E$28,IF(AND(H17&gt;0,[3]EvaluaciónRiesgoCorrup!$F$11&lt;51,D17=4,E17=10),$F$28,IF(AND(H17&gt;0,[3]EvaluaciónRiesgoCorrup!$F$11&lt;51,D17=4,E17=20),G$28," ")))</f>
        <v xml:space="preserve"> </v>
      </c>
      <c r="AQ17" s="29" t="str">
        <f>IF(AND(H17&gt;0,[3]EvaluaciónRiesgoCorrup!$F$11&lt;51,D17=5,E17=5),$E$29,IF(AND(H17&gt;0,[3]EvaluaciónRiesgoCorrup!$F$11&lt;51,D17=5,E17=10),$F$29,IF(AND(H17&gt;0,[3]EvaluaciónRiesgoCorrup!$F$11&lt;51,D17=5,E17=20),G$29," ")))</f>
        <v xml:space="preserve"> </v>
      </c>
      <c r="AT17" s="30" t="s">
        <v>35</v>
      </c>
      <c r="AU17" s="29" t="str">
        <f>IF(AND(I17&gt;0,[3]EvaluaciónRiesgoCorrup!$F$11&gt;75,D17=1,E17=5),$E$25,IF(AND(I17&gt;0,[3]EvaluaciónRiesgoCorrup!$F$11&gt;75,D17=1,E17=10),$E$25,IF(AND(I17&gt;0,[3]EvaluaciónRiesgoCorrup!$F$11&gt;75,D17=1,E17=20),$E$25," ")))</f>
        <v xml:space="preserve"> </v>
      </c>
      <c r="AV17" s="29" t="str">
        <f>IF(AND(I17&gt;0,[3]EvaluaciónRiesgoCorrup!$F$11&gt;75,D17=2,E17=5),$E$26,IF(AND(I17&gt;0,[3]EvaluaciónRiesgoCorrup!$F$11&gt;75,D17=2,E17=10),$E$26,IF(AND(I17&gt;0,[3]EvaluaciónRiesgoCorrup!$F$11&gt;75,D17=2,E17=20),$E$26," ")))</f>
        <v xml:space="preserve"> </v>
      </c>
      <c r="AW17" s="29" t="str">
        <f>IF(AND(I17&gt;0,[3]EvaluaciónRiesgoCorrup!$F$11&gt;75,D17=3,E17=5),$E$27,IF(AND(I17&gt;0,[3]EvaluaciónRiesgoCorrup!$F$11&gt;75,D17=3,E17=10),$E$27,IF(AND(I17&gt;0,[3]EvaluaciónRiesgoCorrup!$F$11&gt;75,D17=3,E17=20),$E$27," ")))</f>
        <v xml:space="preserve"> </v>
      </c>
      <c r="AX17" s="29" t="str">
        <f>IF(AND(I17&gt;0,[3]EvaluaciónRiesgoCorrup!$F$11&gt;75,D17=4,E17=5),$E$28,IF(AND(I17&gt;0,[3]EvaluaciónRiesgoCorrup!$F$11&gt;75,D17=4,E17=10),$E$28,IF(AND(I17&gt;0,[3]EvaluaciónRiesgoCorrup!$F$11&gt;75,D17=4,E17=20),$E$28," ")))</f>
        <v xml:space="preserve"> </v>
      </c>
      <c r="AY17" s="29" t="str">
        <f>IF(AND(I17&gt;0,[3]EvaluaciónRiesgoCorrup!$F$11&gt;75,D17=5,E17=5),$E$29,IF(AND(I17&gt;0,[3]EvaluaciónRiesgoCorrup!$F$11&gt;75,D17=5,E17=10),$E$29,IF(AND(I17&gt;0,[3]EvaluaciónRiesgoCorrup!$F$11&gt;75,D17=5,E17=20),$E$29," ")))</f>
        <v xml:space="preserve"> </v>
      </c>
      <c r="BA17" s="30" t="s">
        <v>36</v>
      </c>
      <c r="BB17" s="29" t="str">
        <f>IF(AND(I17&gt;0,[3]EvaluaciónRiesgoCorrup!$F$11&gt;50,[3]EvaluaciónRiesgoCorrup!$F$11&lt;76,D17=1,E17=5),$E$25,IF(AND(I17&gt;0,[3]EvaluaciónRiesgoCorrup!$F$11&gt;50,[3]EvaluaciónRiesgoCorrup!$F$11&lt;76,D17=1,E17=10),$E$25,IF(AND(I17&gt;0,[3]EvaluaciónRiesgoCorrup!$F$11&gt;50,[3]EvaluaciónRiesgoCorrup!$F$11&lt;76,D17=1,E17=20),$F$25," ")))</f>
        <v xml:space="preserve"> </v>
      </c>
      <c r="BC17" s="29" t="str">
        <f>IF(AND(I17&gt;0,[3]EvaluaciónRiesgoCorrup!$F$11&gt;50,[3]EvaluaciónRiesgoCorrup!$F$11&lt;76,D17=2,E17=5),$E$26,IF(AND(I17&gt;0,[3]EvaluaciónRiesgoCorrup!$F$11&gt;50,[3]EvaluaciónRiesgoCorrup!$F$11&lt;76,D17=2,E17=10),$E$26,IF(AND(I17&gt;0,[3]EvaluaciónRiesgoCorrup!$F$11&gt;50,[3]EvaluaciónRiesgoCorrup!$F$11&lt;76,D17=2,E17=20),$F$26," ")))</f>
        <v xml:space="preserve"> </v>
      </c>
      <c r="BD17" s="29" t="str">
        <f>IF(AND(I17&gt;0,[3]EvaluaciónRiesgoCorrup!$F$11&gt;50,[3]EvaluaciónRiesgoCorrup!$F$11&lt;76,D17=3,E17=5),$E$27,IF(AND(I17&gt;0,[3]EvaluaciónRiesgoCorrup!$F$11&gt;50,[3]EvaluaciónRiesgoCorrup!$F$11&lt;76,D17=3,E17=10),$E$27,IF(AND(I17&gt;0,[3]EvaluaciónRiesgoCorrup!$F$11&gt;50,[3]EvaluaciónRiesgoCorrup!$F$11&lt;76,D17=3,E17=20),$F$27," ")))</f>
        <v xml:space="preserve"> </v>
      </c>
      <c r="BE17" s="29" t="str">
        <f>IF(AND(I17&gt;0,[3]EvaluaciónRiesgoCorrup!$F$11&gt;50,[3]EvaluaciónRiesgoCorrup!$F$11&lt;76,D17=4,E17=5),$E$28,IF(AND(I17&gt;0,[3]EvaluaciónRiesgoCorrup!$F$11&gt;50,[3]EvaluaciónRiesgoCorrup!$F$11&lt;76,D17=4,E17=10),$E$28,IF(AND(I17&gt;0,[3]EvaluaciónRiesgoCorrup!$F$11&gt;50,[3]EvaluaciónRiesgoCorrup!$F$11&lt;76,D17=4,E17=20),$F$28," ")))</f>
        <v xml:space="preserve"> </v>
      </c>
      <c r="BF17" s="29" t="str">
        <f>IF(AND(I17&gt;0,[3]EvaluaciónRiesgoCorrup!$F$11&gt;50,[3]EvaluaciónRiesgoCorrup!$F$11&lt;76,D17=5,E17=5),$E$29,IF(AND(I17&gt;0,[3]EvaluaciónRiesgoCorrup!$F$11&gt;50,[3]EvaluaciónRiesgoCorrup!$F$11&lt;76,D17=5,E17=10),$E$29,IF(AND(I17&gt;0,[3]EvaluaciónRiesgoCorrup!$F$11&gt;50,[3]EvaluaciónRiesgoCorrup!$F$11&lt;76,D17=5,E17=20),$F$29," ")))</f>
        <v xml:space="preserve"> </v>
      </c>
      <c r="BH17" s="30" t="s">
        <v>37</v>
      </c>
      <c r="BI17" s="29" t="str">
        <f>IF(AND(I17&gt;0,[3]EvaluaciónRiesgoCorrup!$F$11&lt;51,D17=1,E17=5),$E$25,IF(AND(I17&gt;0,[3]EvaluaciónRiesgoCorrup!$F$11&lt;51,D17=1,E17=10),$F$25,IF(AND(I17&gt;0,[3]EvaluaciónRiesgoCorrup!$F$11&lt;51,D17=1,E17=20),$G$25," ")))</f>
        <v xml:space="preserve"> </v>
      </c>
      <c r="BJ17" s="29" t="str">
        <f>IF(AND(I17&gt;0,[3]EvaluaciónRiesgoCorrup!$F$11&lt;51,D17=2,E17=5),$E$26,IF(AND(I17&gt;0,[3]EvaluaciónRiesgoCorrup!$F$11&lt;51,D17=2,E17=10),$F$26,IF(AND(I17&gt;0,[3]EvaluaciónRiesgoCorrup!$F$11&lt;51,D17=2,E17=20),$G$26," ")))</f>
        <v xml:space="preserve"> </v>
      </c>
      <c r="BK17" s="29" t="str">
        <f>IF(AND(I17&gt;0,[3]EvaluaciónRiesgoCorrup!$F$11&lt;51,D17=3,E17=5),$E$27,IF(AND(I17&gt;0,[3]EvaluaciónRiesgoCorrup!$F$11&lt;51,D17=3,E17=10),$F$27,IF(AND(I17&gt;0,[3]EvaluaciónRiesgoCorrup!$F$11&lt;51,D17=3,E17=20),$G$27," ")))</f>
        <v xml:space="preserve"> </v>
      </c>
      <c r="BL17" s="29" t="str">
        <f>IF(AND(I17&gt;0,[3]EvaluaciónRiesgoCorrup!$F$11&lt;51,D17=4,E17=5),$E$28,IF(AND(I17&gt;0,[3]EvaluaciónRiesgoCorrup!$F$11&lt;51,D17=4,E17=10),$F$28,IF(AND(I17&gt;0,[3]EvaluaciónRiesgoCorrup!$F$11&lt;51,D17=4,E17=20),$G$28," ")))</f>
        <v xml:space="preserve"> </v>
      </c>
      <c r="BM17" s="29" t="str">
        <f>IF(AND(I17&gt;0,[3]EvaluaciónRiesgoCorrup!$F$11&lt;51,D17=5,E17=5),$E$29,IF(AND(I17&gt;0,[3]EvaluaciónRiesgoCorrup!$F$11&lt;51,D17=5,E17=10),$F$29,IF(AND(I17&gt;0,[3]EvaluaciónRiesgoCorrup!$F$11&lt;51,D17=5,E17=20),$G$29," ")))</f>
        <v xml:space="preserve"> </v>
      </c>
    </row>
    <row r="18" spans="1:65" ht="153.75" customHeight="1" x14ac:dyDescent="0.3">
      <c r="A18" s="55">
        <f>[3]IdentRiesgo!A7</f>
        <v>0</v>
      </c>
      <c r="B18" s="22">
        <f>[3]IdentRiesgo!B7</f>
        <v>0</v>
      </c>
      <c r="C18" s="22">
        <f>[3]IdentRiesgo!D7</f>
        <v>0</v>
      </c>
      <c r="D18" s="23" t="str">
        <f>IF([3]AnálisisRiesgo!B10&gt;0,5,IF([3]AnálisisRiesgo!C10&gt;0,4,IF([3]AnálisisRiesgo!D10&gt;0,3,IF([3]AnálisisRiesgo!E10&gt;0,2,IF([3]AnálisisRiesgo!F10&gt;0,1,"")))))</f>
        <v/>
      </c>
      <c r="E18" s="23" t="str">
        <f>IF([3]AnálisisRiesgo!G10&gt;0,5,IF([3]AnálisisRiesgo!H10&gt;0,4,IF([3]AnálisisRiesgo!I10&gt;0,3,IF([3]AnálisisRiesgo!J10&gt;0,2,IF([3]AnálisisRiesgo!K10&gt;0,1,IF([3]AnálisisRiesgo!L10&gt;0,20,IF([3]AnálisisRiesgo!M10&gt;0,10,IF([3]AnálisisRiesgo!N10&gt;0,5,""))))))))</f>
        <v/>
      </c>
      <c r="F18" s="23" t="str">
        <f t="shared" ref="F18:F19" si="0">CONCATENATE(S18,T18,U18,V18,W18)</f>
        <v xml:space="preserve">     </v>
      </c>
      <c r="G18" s="24"/>
      <c r="H18" s="25"/>
      <c r="I18" s="26"/>
      <c r="J18" s="23" t="str">
        <f t="shared" ref="J18:J19" si="1">CONCATENATE(Z18,AA18,AB18,AC18,AD18,AF18,AG18,AH18,AI18,AJ18,AM18,AN18,AO18,AP18,AQ18,AU18,AV18,AW18,AX18,AY18,BB18,BC18,BD18,BE18,BF18,BI18,BJ18,BK18,BL18,BM18)</f>
        <v xml:space="preserve">                              </v>
      </c>
      <c r="K18" s="23"/>
      <c r="L18" s="23"/>
      <c r="M18" s="23"/>
      <c r="N18" s="27"/>
      <c r="O18" s="27"/>
      <c r="P18" s="27"/>
      <c r="Q18" s="29"/>
      <c r="S18" s="29" t="str">
        <f>IF(AND(D18=1,E18=5),$E$25,IF(AND(D18=1,E18=10),$F$25,IF(AND(D18=1,E18=20),$G$25," ")))</f>
        <v xml:space="preserve"> </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IF(AND(H18&gt;0,[3]EvaluaciónRiesgoCorrup!$F$11&gt;75,D18=1,E18=5),$E$25,IF(AND(H18&gt;0,[3]EvaluaciónRiesgoCorrup!$F$11&gt;75,D18=1,E18=10),$F$25,IF(AND(H18&gt;0,[3]EvaluaciónRiesgoCorrup!$F$11&gt;75,D18=1,E18=20),$G$25," ")))</f>
        <v xml:space="preserve"> </v>
      </c>
      <c r="AA18" s="29" t="str">
        <f>IF(AND(H18&gt;0,[3]EvaluaciónRiesgoCorrup!$F$11&gt;75,D18=2,E18=5),$E$25,IF(AND(H18&gt;0,[3]EvaluaciónRiesgoCorrup!$F$11&gt;75,D18=2,E18=10),$F$25,IF(AND(H18&gt;0,[3]EvaluaciónRiesgoCorrup!$F$11&gt;75,D18=2,E18=20),$G$25," ")))</f>
        <v xml:space="preserve"> </v>
      </c>
      <c r="AB18" s="29" t="str">
        <f>IF(AND(H18&gt;0,[3]EvaluaciónRiesgoCorrup!$F$11&gt;75,D18=3,E18=5),$E$25,IF(AND(H18&gt;0,[3]EvaluaciónRiesgoCorrup!$F$11&gt;75,D18=3,E18=10),$F$25,IF(AND(H18&gt;0,[3]EvaluaciónRiesgoCorrup!$F$11&gt;75,D18=3,E18=20),$G$25," ")))</f>
        <v xml:space="preserve"> </v>
      </c>
      <c r="AC18" s="29" t="str">
        <f>IF(AND(H18&gt;0,[3]EvaluaciónRiesgoCorrup!$F$11&gt;75,D18=4,E18=5),$E$26,IF(AND(H18&gt;0,[3]EvaluaciónRiesgoCorrup!$F$11&gt;75,D18=4,E18=10),$F$26,IF(AND(H18&gt;0,[3]EvaluaciónRiesgoCorrup!$F$11&gt;75,D18=4,E18=20),$G$26," ")))</f>
        <v xml:space="preserve"> </v>
      </c>
      <c r="AD18" s="29" t="str">
        <f>IF(AND(H18&gt;0,[3]EvaluaciónRiesgoCorrup!$F$11&gt;75,D18=5,E18=5),$E$27,IF(AND(H18&gt;0,[3]EvaluaciónRiesgoCorrup!$F$11&gt;75,D18=5,E18=10),$F$27,IF(AND(H18&gt;0,[3]EvaluaciónRiesgoCorrup!$F$11&gt;75,D18=5,E18=20),$G$27," ")))</f>
        <v xml:space="preserve"> </v>
      </c>
      <c r="AF18" s="29" t="str">
        <f>IF(AND(H18&gt;0,[3]EvaluaciónRiesgoCorrup!$F$11&gt;50,[3]EvaluaciónRiesgoCorrup!$F$11&lt;76,D18=1,E18=5),$E$25,IF(AND(H18&gt;0,[3]EvaluaciónRiesgoCorrup!$F$11&gt;50,[3]EvaluaciónRiesgoCorrup!$F$11&lt;76,D18=1,E18=10),$F$25,IF(AND(H18&gt;0,[3]EvaluaciónRiesgoCorrup!$F$11&gt;50,[3]EvaluaciónRiesgoCorrup!$F$11&lt;76,D18=1,E18=20),$G$25," ")))</f>
        <v xml:space="preserve"> </v>
      </c>
      <c r="AG18" s="29" t="str">
        <f>IF(AND(H18&gt;0,[3]EvaluaciónRiesgoCorrup!$F$11&gt;50,[3]EvaluaciónRiesgoCorrup!$F$11&lt;76,D18=2,E18=5),$E$25,IF(AND(H18&gt;0,[3]EvaluaciónRiesgoCorrup!$F$11&gt;50,[3]EvaluaciónRiesgoCorrup!$F$11&lt;76,D18=2,E18=10),$F$25,IF(AND(H18&gt;0,[3]EvaluaciónRiesgoCorrup!$F$11&gt;50,[3]EvaluaciónRiesgoCorrup!$F$11&lt;76,D18=2,E18=20),$G$25," ")))</f>
        <v xml:space="preserve"> </v>
      </c>
      <c r="AH18" s="29" t="str">
        <f>IF(AND(H18&gt;0,[3]EvaluaciónRiesgoCorrup!$F$11&gt;50,[3]EvaluaciónRiesgoCorrup!$F$11&lt;76,D18=3,E18=5),$E$26,IF(AND(H18&gt;0,[3]EvaluaciónRiesgoCorrup!$F$11&gt;50,[3]EvaluaciónRiesgoCorrup!$F$11&lt;76,D18=3,E18=10),$F$26,IF(AND(H18&gt;0,[3]EvaluaciónRiesgoCorrup!$F$11&gt;50,[3]EvaluaciónRiesgoCorrup!$F$11&lt;76,D18=3,E18=20),$G$26," ")))</f>
        <v xml:space="preserve"> </v>
      </c>
      <c r="AI18" s="29" t="str">
        <f>IF(AND(H18&gt;0,[3]EvaluaciónRiesgoCorrup!$F$11&gt;50,[3]EvaluaciónRiesgoCorrup!$F$11&lt;76,D18=4,E18=5),$E$27,IF(AND(H18&gt;0,[3]EvaluaciónRiesgoCorrup!$F$11&gt;50,[3]EvaluaciónRiesgoCorrup!$F$11&lt;76,D18=4,E18=10),$F$27,IF(AND(H18&gt;0,[3]EvaluaciónRiesgoCorrup!$F$11&gt;50,[3]EvaluaciónRiesgoCorrup!$F$11&lt;76,D18=4,E18=20),$G$27," ")))</f>
        <v xml:space="preserve"> </v>
      </c>
      <c r="AJ18" s="29" t="str">
        <f>IF(AND(H18&gt;0,[3]EvaluaciónRiesgoCorrup!$F$11&gt;50,[3]EvaluaciónRiesgoCorrup!$F$11&lt;76,D18=5,E18=5),$E$28,IF(AND(H18&gt;0,[3]EvaluaciónRiesgoCorrup!$F$11&gt;50,[3]EvaluaciónRiesgoCorrup!$F$11&lt;76,D18=5,E18=10),$F$28,IF(AND(H18&gt;0,[3]EvaluaciónRiesgoCorrup!$F$11&gt;50,[3]EvaluaciónRiesgoCorrup!$F$11&lt;76,D18=5,E18=20),$G$28," ")))</f>
        <v xml:space="preserve"> </v>
      </c>
      <c r="AM18" s="29" t="str">
        <f>IF(AND(H18&gt;0,[3]EvaluaciónRiesgoCorrup!$F$11&lt;51,D18=1,E18=5),$E$25,IF(AND(H18&gt;0,[3]EvaluaciónRiesgoCorrup!$F$11&lt;51,D18=1,E18=10),$F$25,IF(AND(H18&gt;0,[3]EvaluaciónRiesgoCorrup!$F$11&lt;51,D18=1,E18=20),G$25," ")))</f>
        <v xml:space="preserve"> </v>
      </c>
      <c r="AN18" s="29" t="str">
        <f>IF(AND(H18&gt;0,[3]EvaluaciónRiesgoCorrup!$F$11&lt;51,D18=2,E18=5),$E$26,IF(AND(H18&gt;0,[3]EvaluaciónRiesgoCorrup!$F$11&lt;51,D18=2,E18=10),$F$26,IF(AND(H18&gt;0,[3]EvaluaciónRiesgoCorrup!$F$11&lt;51,D18=2,E18=20),G$26," ")))</f>
        <v xml:space="preserve"> </v>
      </c>
      <c r="AO18" s="29" t="str">
        <f>IF(AND(H18&gt;0,[3]EvaluaciónRiesgoCorrup!$F$11&lt;51,D18=3,E18=5),$E$27,IF(AND(H18&gt;0,[3]EvaluaciónRiesgoCorrup!$F$11&lt;51,D18=3,E18=10),$F$27,IF(AND(H18&gt;0,[3]EvaluaciónRiesgoCorrup!$F$11&lt;51,D18=3,E18=20),G$27," ")))</f>
        <v xml:space="preserve"> </v>
      </c>
      <c r="AP18" s="29" t="str">
        <f>IF(AND(H18&gt;0,[3]EvaluaciónRiesgoCorrup!$F$11&lt;51,D18=4,E18=5),$E$28,IF(AND(H18&gt;0,[3]EvaluaciónRiesgoCorrup!$F$11&lt;51,D18=4,E18=10),$F$28,IF(AND(H18&gt;0,[3]EvaluaciónRiesgoCorrup!$F$11&lt;51,D18=4,E18=20),G$28," ")))</f>
        <v xml:space="preserve"> </v>
      </c>
      <c r="AQ18" s="29" t="str">
        <f>IF(AND(H18&gt;0,[3]EvaluaciónRiesgoCorrup!$F$11&lt;51,D18=5,E18=5),$E$29,IF(AND(H18&gt;0,[3]EvaluaciónRiesgoCorrup!$F$11&lt;51,D18=5,E18=10),$F$29,IF(AND(H18&gt;0,[3]EvaluaciónRiesgoCorrup!$F$11&lt;51,D18=5,E18=20),G$29," ")))</f>
        <v xml:space="preserve"> </v>
      </c>
      <c r="AU18" s="29" t="str">
        <f>IF(AND(I18&gt;0,[3]EvaluaciónRiesgoCorrup!$F$11&gt;75,D18=1,E18=5),$E$25,IF(AND(I18&gt;0,[3]EvaluaciónRiesgoCorrup!$F$11&gt;75,D18=1,E18=10),$E$25,IF(AND(I18&gt;0,[3]EvaluaciónRiesgoCorrup!$F$11&gt;75,D18=1,E18=20),$E$25," ")))</f>
        <v xml:space="preserve"> </v>
      </c>
      <c r="AV18" s="29" t="str">
        <f>IF(AND(I18&gt;0,[3]EvaluaciónRiesgoCorrup!$F$11&gt;75,D18=2,E18=5),$E$26,IF(AND(I18&gt;0,[3]EvaluaciónRiesgoCorrup!$F$11&gt;75,D18=2,E18=10),$E$26,IF(AND(I18&gt;0,[3]EvaluaciónRiesgoCorrup!$F$11&gt;75,D18=2,E18=20),$E$26," ")))</f>
        <v xml:space="preserve"> </v>
      </c>
      <c r="AW18" s="29" t="str">
        <f>IF(AND(I18&gt;0,[3]EvaluaciónRiesgoCorrup!$F$11&gt;75,D18=3,E18=5),$E$27,IF(AND(I18&gt;0,[3]EvaluaciónRiesgoCorrup!$F$11&gt;75,D18=3,E18=10),$E$27,IF(AND(I18&gt;0,[3]EvaluaciónRiesgoCorrup!$F$11&gt;75,D18=3,E18=20),$E$27," ")))</f>
        <v xml:space="preserve"> </v>
      </c>
      <c r="AX18" s="29" t="str">
        <f>IF(AND(I18&gt;0,[3]EvaluaciónRiesgoCorrup!$F$11&gt;75,D18=4,E18=5),$E$28,IF(AND(I18&gt;0,[3]EvaluaciónRiesgoCorrup!$F$11&gt;75,D18=4,E18=10),$E$28,IF(AND(I18&gt;0,[3]EvaluaciónRiesgoCorrup!$F$11&gt;75,D18=4,E18=20),$E$28," ")))</f>
        <v xml:space="preserve"> </v>
      </c>
      <c r="AY18" s="29" t="str">
        <f>IF(AND(I18&gt;0,[3]EvaluaciónRiesgoCorrup!$F$11&gt;75,D18=5,E18=5),$E$29,IF(AND(I18&gt;0,[3]EvaluaciónRiesgoCorrup!$F$11&gt;75,D18=5,E18=10),$E$29,IF(AND(I18&gt;0,[3]EvaluaciónRiesgoCorrup!$F$11&gt;75,D18=5,E18=20),$E$29," ")))</f>
        <v xml:space="preserve"> </v>
      </c>
      <c r="BB18" s="29" t="str">
        <f>IF(AND(I18&gt;0,[3]EvaluaciónRiesgoCorrup!$F$11&gt;50,[3]EvaluaciónRiesgoCorrup!$F$11&lt;76,D18=1,E18=5),$E$25,IF(AND(I18&gt;0,[3]EvaluaciónRiesgoCorrup!$F$11&gt;50,[3]EvaluaciónRiesgoCorrup!$F$11&lt;76,D18=1,E18=10),$E$25,IF(AND(I18&gt;0,[3]EvaluaciónRiesgoCorrup!$F$11&gt;50,[3]EvaluaciónRiesgoCorrup!$F$11&lt;76,D18=1,E18=20),$F$25," ")))</f>
        <v xml:space="preserve"> </v>
      </c>
      <c r="BC18" s="29" t="str">
        <f>IF(AND(I18&gt;0,[3]EvaluaciónRiesgoCorrup!$F$11&gt;50,[3]EvaluaciónRiesgoCorrup!$F$11&lt;76,D18=2,E18=5),$E$26,IF(AND(I18&gt;0,[3]EvaluaciónRiesgoCorrup!$F$11&gt;50,[3]EvaluaciónRiesgoCorrup!$F$11&lt;76,D18=2,E18=10),$E$26,IF(AND(I18&gt;0,[3]EvaluaciónRiesgoCorrup!$F$11&gt;50,[3]EvaluaciónRiesgoCorrup!$F$11&lt;76,D18=2,E18=20),$F$26," ")))</f>
        <v xml:space="preserve"> </v>
      </c>
      <c r="BD18" s="29" t="str">
        <f>IF(AND(I18&gt;0,[3]EvaluaciónRiesgoCorrup!$F$11&gt;50,[3]EvaluaciónRiesgoCorrup!$F$11&lt;76,D18=3,E18=5),$E$27,IF(AND(I18&gt;0,[3]EvaluaciónRiesgoCorrup!$F$11&gt;50,[3]EvaluaciónRiesgoCorrup!$F$11&lt;76,D18=3,E18=10),$E$27,IF(AND(I18&gt;0,[3]EvaluaciónRiesgoCorrup!$F$11&gt;50,[3]EvaluaciónRiesgoCorrup!$F$11&lt;76,D18=3,E18=20),$F$27," ")))</f>
        <v xml:space="preserve"> </v>
      </c>
      <c r="BE18" s="29" t="str">
        <f>IF(AND(I18&gt;0,[3]EvaluaciónRiesgoCorrup!$F$11&gt;50,[3]EvaluaciónRiesgoCorrup!$F$11&lt;76,D18=4,E18=5),$E$28,IF(AND(I18&gt;0,[3]EvaluaciónRiesgoCorrup!$F$11&gt;50,[3]EvaluaciónRiesgoCorrup!$F$11&lt;76,D18=4,E18=10),$E$28,IF(AND(I18&gt;0,[3]EvaluaciónRiesgoCorrup!$F$11&gt;50,[3]EvaluaciónRiesgoCorrup!$F$11&lt;76,D18=4,E18=20),$F$28," ")))</f>
        <v xml:space="preserve"> </v>
      </c>
      <c r="BF18" s="29" t="str">
        <f>IF(AND(I18&gt;0,[3]EvaluaciónRiesgoCorrup!$F$11&gt;50,[3]EvaluaciónRiesgoCorrup!$F$11&lt;76,D18=5,E18=5),$E$29,IF(AND(I18&gt;0,[3]EvaluaciónRiesgoCorrup!$F$11&gt;50,[3]EvaluaciónRiesgoCorrup!$F$11&lt;76,D18=5,E18=10),$E$29,IF(AND(I18&gt;0,[3]EvaluaciónRiesgoCorrup!$F$11&gt;50,[3]EvaluaciónRiesgoCorrup!$F$11&lt;76,D18=5,E18=20),$F$29," ")))</f>
        <v xml:space="preserve"> </v>
      </c>
      <c r="BI18" s="29" t="str">
        <f>IF(AND(I18&gt;0,[3]EvaluaciónRiesgoCorrup!$F$11&lt;51,D18=1,E18=5),$E$25,IF(AND(I18&gt;0,[3]EvaluaciónRiesgoCorrup!$F$11&lt;51,D18=1,E18=10),$F$25,IF(AND(I18&gt;0,[3]EvaluaciónRiesgoCorrup!$F$11&lt;51,D18=1,E18=20),$G$25," ")))</f>
        <v xml:space="preserve"> </v>
      </c>
      <c r="BJ18" s="29" t="str">
        <f>IF(AND(I18&gt;0,[3]EvaluaciónRiesgoCorrup!$F$11&lt;51,D18=2,E18=5),$E$26,IF(AND(I18&gt;0,[3]EvaluaciónRiesgoCorrup!$F$11&lt;51,D18=2,E18=10),$F$26,IF(AND(I18&gt;0,[3]EvaluaciónRiesgoCorrup!$F$11&lt;51,D18=2,E18=20),$G$26," ")))</f>
        <v xml:space="preserve"> </v>
      </c>
      <c r="BK18" s="29" t="str">
        <f>IF(AND(I18&gt;0,[3]EvaluaciónRiesgoCorrup!$F$11&lt;51,D18=3,E18=5),$E$27,IF(AND(I18&gt;0,[3]EvaluaciónRiesgoCorrup!$F$11&lt;51,D18=3,E18=10),$F$27,IF(AND(I18&gt;0,[3]EvaluaciónRiesgoCorrup!$F$11&lt;51,D18=3,E18=20),$G$27," ")))</f>
        <v xml:space="preserve"> </v>
      </c>
      <c r="BL18" s="29" t="str">
        <f>IF(AND(I18&gt;0,[3]EvaluaciónRiesgoCorrup!$F$11&lt;51,D18=4,E18=5),$E$28,IF(AND(I18&gt;0,[3]EvaluaciónRiesgoCorrup!$F$11&lt;51,D18=4,E18=10),$F$28,IF(AND(I18&gt;0,[3]EvaluaciónRiesgoCorrup!$F$11&lt;51,D18=4,E18=20),$G$28," ")))</f>
        <v xml:space="preserve"> </v>
      </c>
      <c r="BM18" s="29" t="str">
        <f>IF(AND(I18&gt;0,[3]EvaluaciónRiesgoCorrup!$F$11&lt;51,D18=5,E18=5),$E$29,IF(AND(I18&gt;0,[3]EvaluaciónRiesgoCorrup!$F$11&lt;51,D18=5,E18=10),$F$29,IF(AND(I18&gt;0,[3]EvaluaciónRiesgoCorrup!$F$11&lt;51,D18=5,E18=20),$G$29," ")))</f>
        <v xml:space="preserve"> </v>
      </c>
    </row>
    <row r="19" spans="1:65" ht="153.75" customHeight="1" x14ac:dyDescent="0.3">
      <c r="A19" s="55">
        <f>[3]IdentRiesgo!A8</f>
        <v>0</v>
      </c>
      <c r="B19" s="22">
        <f>[3]IdentRiesgo!B8</f>
        <v>0</v>
      </c>
      <c r="C19" s="22">
        <f>[3]IdentRiesgo!D8</f>
        <v>0</v>
      </c>
      <c r="D19" s="23" t="str">
        <f>IF([3]AnálisisRiesgo!B11&gt;0,5,IF([3]AnálisisRiesgo!C11&gt;0,4,IF([3]AnálisisRiesgo!D11&gt;0,3,IF([3]AnálisisRiesgo!E11&gt;0,2,IF([3]AnálisisRiesgo!F11&gt;0,1,"")))))</f>
        <v/>
      </c>
      <c r="E19" s="23" t="str">
        <f>IF([3]AnálisisRiesgo!G11&gt;0,5,IF([3]AnálisisRiesgo!H11&gt;0,4,IF([3]AnálisisRiesgo!I11&gt;0,3,IF([3]AnálisisRiesgo!J11&gt;0,2,IF([3]AnálisisRiesgo!K11&gt;0,1,IF([3]AnálisisRiesgo!L11&gt;0,20,IF([3]AnálisisRiesgo!M11&gt;0,10,IF([3]AnálisisRiesgo!N11&gt;0,5,""))))))))</f>
        <v/>
      </c>
      <c r="F19" s="23" t="str">
        <f t="shared" si="0"/>
        <v xml:space="preserve">     </v>
      </c>
      <c r="G19" s="24"/>
      <c r="H19" s="25"/>
      <c r="I19" s="26"/>
      <c r="J19" s="23" t="str">
        <f t="shared" si="1"/>
        <v xml:space="preserve">                              </v>
      </c>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IF(AND(H19&gt;0,[3]EvaluaciónRiesgoCorrup!$F$11&gt;75,D19=1,E19=5),$E$25,IF(AND(H19&gt;0,[3]EvaluaciónRiesgoCorrup!$F$11&gt;75,D19=1,E19=10),$F$25,IF(AND(H19&gt;0,[3]EvaluaciónRiesgoCorrup!$F$11&gt;75,D19=1,E19=20),$G$25," ")))</f>
        <v xml:space="preserve"> </v>
      </c>
      <c r="AA19" s="29" t="str">
        <f>IF(AND(H19&gt;0,[3]EvaluaciónRiesgoCorrup!$F$11&gt;75,D19=2,E19=5),$E$25,IF(AND(H19&gt;0,[3]EvaluaciónRiesgoCorrup!$F$11&gt;75,D19=2,E19=10),$F$25,IF(AND(H19&gt;0,[3]EvaluaciónRiesgoCorrup!$F$11&gt;75,D19=2,E19=20),$G$25," ")))</f>
        <v xml:space="preserve"> </v>
      </c>
      <c r="AB19" s="29" t="str">
        <f>IF(AND(H19&gt;0,[3]EvaluaciónRiesgoCorrup!$F$11&gt;75,D19=3,E19=5),$E$25,IF(AND(H19&gt;0,[3]EvaluaciónRiesgoCorrup!$F$11&gt;75,D19=3,E19=10),$F$25,IF(AND(H19&gt;0,[3]EvaluaciónRiesgoCorrup!$F$11&gt;75,D19=3,E19=20),$G$25," ")))</f>
        <v xml:space="preserve"> </v>
      </c>
      <c r="AC19" s="29" t="str">
        <f>IF(AND(H19&gt;0,[3]EvaluaciónRiesgoCorrup!$F$11&gt;75,D19=4,E19=5),$E$26,IF(AND(H19&gt;0,[3]EvaluaciónRiesgoCorrup!$F$11&gt;75,D19=4,E19=10),$F$26,IF(AND(H19&gt;0,[3]EvaluaciónRiesgoCorrup!$F$11&gt;75,D19=4,E19=20),$G$26," ")))</f>
        <v xml:space="preserve"> </v>
      </c>
      <c r="AD19" s="29" t="str">
        <f>IF(AND(H19&gt;0,[3]EvaluaciónRiesgoCorrup!$F$11&gt;75,D19=5,E19=5),$E$27,IF(AND(H19&gt;0,[3]EvaluaciónRiesgoCorrup!$F$11&gt;75,D19=5,E19=10),$F$27,IF(AND(H19&gt;0,[3]EvaluaciónRiesgoCorrup!$F$11&gt;75,D19=5,E19=20),$G$27," ")))</f>
        <v xml:space="preserve"> </v>
      </c>
      <c r="AF19" s="29" t="str">
        <f>IF(AND(H19&gt;0,[3]EvaluaciónRiesgoCorrup!$F$11&gt;50,[3]EvaluaciónRiesgoCorrup!$F$11&lt;76,D19=1,E19=5),$E$25,IF(AND(H19&gt;0,[3]EvaluaciónRiesgoCorrup!$F$11&gt;50,[3]EvaluaciónRiesgoCorrup!$F$11&lt;76,D19=1,E19=10),$F$25,IF(AND(H19&gt;0,[3]EvaluaciónRiesgoCorrup!$F$11&gt;50,[3]EvaluaciónRiesgoCorrup!$F$11&lt;76,D19=1,E19=20),$G$25," ")))</f>
        <v xml:space="preserve"> </v>
      </c>
      <c r="AG19" s="29" t="str">
        <f>IF(AND(H19&gt;0,[3]EvaluaciónRiesgoCorrup!$F$11&gt;50,[3]EvaluaciónRiesgoCorrup!$F$11&lt;76,D19=2,E19=5),$E$25,IF(AND(H19&gt;0,[3]EvaluaciónRiesgoCorrup!$F$11&gt;50,[3]EvaluaciónRiesgoCorrup!$F$11&lt;76,D19=2,E19=10),$F$25,IF(AND(H19&gt;0,[3]EvaluaciónRiesgoCorrup!$F$11&gt;50,[3]EvaluaciónRiesgoCorrup!$F$11&lt;76,D19=2,E19=20),$G$25," ")))</f>
        <v xml:space="preserve"> </v>
      </c>
      <c r="AH19" s="29" t="str">
        <f>IF(AND(H19&gt;0,[3]EvaluaciónRiesgoCorrup!$F$11&gt;50,[3]EvaluaciónRiesgoCorrup!$F$11&lt;76,D19=3,E19=5),$E$26,IF(AND(H19&gt;0,[3]EvaluaciónRiesgoCorrup!$F$11&gt;50,[3]EvaluaciónRiesgoCorrup!$F$11&lt;76,D19=3,E19=10),$F$26,IF(AND(H19&gt;0,[3]EvaluaciónRiesgoCorrup!$F$11&gt;50,[3]EvaluaciónRiesgoCorrup!$F$11&lt;76,D19=3,E19=20),$G$26," ")))</f>
        <v xml:space="preserve"> </v>
      </c>
      <c r="AI19" s="29" t="str">
        <f>IF(AND(H19&gt;0,[3]EvaluaciónRiesgoCorrup!$F$11&gt;50,[3]EvaluaciónRiesgoCorrup!$F$11&lt;76,D19=4,E19=5),$E$27,IF(AND(H19&gt;0,[3]EvaluaciónRiesgoCorrup!$F$11&gt;50,[3]EvaluaciónRiesgoCorrup!$F$11&lt;76,D19=4,E19=10),$F$27,IF(AND(H19&gt;0,[3]EvaluaciónRiesgoCorrup!$F$11&gt;50,[3]EvaluaciónRiesgoCorrup!$F$11&lt;76,D19=4,E19=20),$G$27," ")))</f>
        <v xml:space="preserve"> </v>
      </c>
      <c r="AJ19" s="29" t="str">
        <f>IF(AND(H19&gt;0,[3]EvaluaciónRiesgoCorrup!$F$11&gt;50,[3]EvaluaciónRiesgoCorrup!$F$11&lt;76,D19=5,E19=5),$E$28,IF(AND(H19&gt;0,[3]EvaluaciónRiesgoCorrup!$F$11&gt;50,[3]EvaluaciónRiesgoCorrup!$F$11&lt;76,D19=5,E19=10),$F$28,IF(AND(H19&gt;0,[3]EvaluaciónRiesgoCorrup!$F$11&gt;50,[3]EvaluaciónRiesgoCorrup!$F$11&lt;76,D19=5,E19=20),$G$28," ")))</f>
        <v xml:space="preserve"> </v>
      </c>
      <c r="AM19" s="29" t="str">
        <f>IF(AND(H19&gt;0,[3]EvaluaciónRiesgoCorrup!$F$11&lt;51,D19=1,E19=5),$E$25,IF(AND(H19&gt;0,[3]EvaluaciónRiesgoCorrup!$F$11&lt;51,D19=1,E19=10),$F$25,IF(AND(H19&gt;0,[3]EvaluaciónRiesgoCorrup!$F$11&lt;51,D19=1,E19=20),G$25," ")))</f>
        <v xml:space="preserve"> </v>
      </c>
      <c r="AN19" s="29" t="str">
        <f>IF(AND(H19&gt;0,[3]EvaluaciónRiesgoCorrup!$F$11&lt;51,D19=2,E19=5),$E$26,IF(AND(H19&gt;0,[3]EvaluaciónRiesgoCorrup!$F$11&lt;51,D19=2,E19=10),$F$26,IF(AND(H19&gt;0,[3]EvaluaciónRiesgoCorrup!$F$11&lt;51,D19=2,E19=20),G$26," ")))</f>
        <v xml:space="preserve"> </v>
      </c>
      <c r="AO19" s="29" t="str">
        <f>IF(AND(H19&gt;0,[3]EvaluaciónRiesgoCorrup!$F$11&lt;51,D19=3,E19=5),$E$27,IF(AND(H19&gt;0,[3]EvaluaciónRiesgoCorrup!$F$11&lt;51,D19=3,E19=10),$F$27,IF(AND(H19&gt;0,[3]EvaluaciónRiesgoCorrup!$F$11&lt;51,D19=3,E19=20),G$27," ")))</f>
        <v xml:space="preserve"> </v>
      </c>
      <c r="AP19" s="29" t="str">
        <f>IF(AND(H19&gt;0,[3]EvaluaciónRiesgoCorrup!$F$11&lt;51,D19=4,E19=5),$E$28,IF(AND(H19&gt;0,[3]EvaluaciónRiesgoCorrup!$F$11&lt;51,D19=4,E19=10),$F$28,IF(AND(H19&gt;0,[3]EvaluaciónRiesgoCorrup!$F$11&lt;51,D19=4,E19=20),G$28," ")))</f>
        <v xml:space="preserve"> </v>
      </c>
      <c r="AQ19" s="29" t="str">
        <f>IF(AND(H19&gt;0,[3]EvaluaciónRiesgoCorrup!$F$11&lt;51,D19=5,E19=5),$E$29,IF(AND(H19&gt;0,[3]EvaluaciónRiesgoCorrup!$F$11&lt;51,D19=5,E19=10),$F$29,IF(AND(H19&gt;0,[3]EvaluaciónRiesgoCorrup!$F$11&lt;51,D19=5,E19=20),G$29," ")))</f>
        <v xml:space="preserve"> </v>
      </c>
      <c r="AU19" s="29" t="str">
        <f>IF(AND(I19&gt;0,[3]EvaluaciónRiesgoCorrup!$F$11&gt;75,D19=1,E19=5),$E$25,IF(AND(I19&gt;0,[3]EvaluaciónRiesgoCorrup!$F$11&gt;75,D19=1,E19=10),$E$25,IF(AND(I19&gt;0,[3]EvaluaciónRiesgoCorrup!$F$11&gt;75,D19=1,E19=20),$E$25," ")))</f>
        <v xml:space="preserve"> </v>
      </c>
      <c r="AV19" s="29" t="str">
        <f>IF(AND(I19&gt;0,[3]EvaluaciónRiesgoCorrup!$F$11&gt;75,D19=2,E19=5),$E$26,IF(AND(I19&gt;0,[3]EvaluaciónRiesgoCorrup!$F$11&gt;75,D19=2,E19=10),$E$26,IF(AND(I19&gt;0,[3]EvaluaciónRiesgoCorrup!$F$11&gt;75,D19=2,E19=20),$E$26," ")))</f>
        <v xml:space="preserve"> </v>
      </c>
      <c r="AW19" s="29" t="str">
        <f>IF(AND(I19&gt;0,[3]EvaluaciónRiesgoCorrup!$F$11&gt;75,D19=3,E19=5),$E$27,IF(AND(I19&gt;0,[3]EvaluaciónRiesgoCorrup!$F$11&gt;75,D19=3,E19=10),$E$27,IF(AND(I19&gt;0,[3]EvaluaciónRiesgoCorrup!$F$11&gt;75,D19=3,E19=20),$E$27," ")))</f>
        <v xml:space="preserve"> </v>
      </c>
      <c r="AX19" s="29" t="str">
        <f>IF(AND(I19&gt;0,[3]EvaluaciónRiesgoCorrup!$F$11&gt;75,D19=4,E19=5),$E$28,IF(AND(I19&gt;0,[3]EvaluaciónRiesgoCorrup!$F$11&gt;75,D19=4,E19=10),$E$28,IF(AND(I19&gt;0,[3]EvaluaciónRiesgoCorrup!$F$11&gt;75,D19=4,E19=20),$E$28," ")))</f>
        <v xml:space="preserve"> </v>
      </c>
      <c r="AY19" s="29" t="str">
        <f>IF(AND(I19&gt;0,[3]EvaluaciónRiesgoCorrup!$F$11&gt;75,D19=5,E19=5),$E$29,IF(AND(I19&gt;0,[3]EvaluaciónRiesgoCorrup!$F$11&gt;75,D19=5,E19=10),$E$29,IF(AND(I19&gt;0,[3]EvaluaciónRiesgoCorrup!$F$11&gt;75,D19=5,E19=20),$E$29," ")))</f>
        <v xml:space="preserve"> </v>
      </c>
      <c r="BB19" s="29" t="str">
        <f>IF(AND(I19&gt;0,[3]EvaluaciónRiesgoCorrup!$F$11&gt;50,[3]EvaluaciónRiesgoCorrup!$F$11&lt;76,D19=1,E19=5),$E$25,IF(AND(I19&gt;0,[3]EvaluaciónRiesgoCorrup!$F$11&gt;50,[3]EvaluaciónRiesgoCorrup!$F$11&lt;76,D19=1,E19=10),$E$25,IF(AND(I19&gt;0,[3]EvaluaciónRiesgoCorrup!$F$11&gt;50,[3]EvaluaciónRiesgoCorrup!$F$11&lt;76,D19=1,E19=20),$F$25," ")))</f>
        <v xml:space="preserve"> </v>
      </c>
      <c r="BC19" s="29" t="str">
        <f>IF(AND(I19&gt;0,[3]EvaluaciónRiesgoCorrup!$F$11&gt;50,[3]EvaluaciónRiesgoCorrup!$F$11&lt;76,D19=2,E19=5),$E$26,IF(AND(I19&gt;0,[3]EvaluaciónRiesgoCorrup!$F$11&gt;50,[3]EvaluaciónRiesgoCorrup!$F$11&lt;76,D19=2,E19=10),$E$26,IF(AND(I19&gt;0,[3]EvaluaciónRiesgoCorrup!$F$11&gt;50,[3]EvaluaciónRiesgoCorrup!$F$11&lt;76,D19=2,E19=20),$F$26," ")))</f>
        <v xml:space="preserve"> </v>
      </c>
      <c r="BD19" s="29" t="str">
        <f>IF(AND(I19&gt;0,[3]EvaluaciónRiesgoCorrup!$F$11&gt;50,[3]EvaluaciónRiesgoCorrup!$F$11&lt;76,D19=3,E19=5),$E$27,IF(AND(I19&gt;0,[3]EvaluaciónRiesgoCorrup!$F$11&gt;50,[3]EvaluaciónRiesgoCorrup!$F$11&lt;76,D19=3,E19=10),$E$27,IF(AND(I19&gt;0,[3]EvaluaciónRiesgoCorrup!$F$11&gt;50,[3]EvaluaciónRiesgoCorrup!$F$11&lt;76,D19=3,E19=20),$F$27," ")))</f>
        <v xml:space="preserve"> </v>
      </c>
      <c r="BE19" s="29" t="str">
        <f>IF(AND(I19&gt;0,[3]EvaluaciónRiesgoCorrup!$F$11&gt;50,[3]EvaluaciónRiesgoCorrup!$F$11&lt;76,D19=4,E19=5),$E$28,IF(AND(I19&gt;0,[3]EvaluaciónRiesgoCorrup!$F$11&gt;50,[3]EvaluaciónRiesgoCorrup!$F$11&lt;76,D19=4,E19=10),$E$28,IF(AND(I19&gt;0,[3]EvaluaciónRiesgoCorrup!$F$11&gt;50,[3]EvaluaciónRiesgoCorrup!$F$11&lt;76,D19=4,E19=20),$F$28," ")))</f>
        <v xml:space="preserve"> </v>
      </c>
      <c r="BF19" s="29" t="str">
        <f>IF(AND(I19&gt;0,[3]EvaluaciónRiesgoCorrup!$F$11&gt;50,[3]EvaluaciónRiesgoCorrup!$F$11&lt;76,D19=5,E19=5),$E$29,IF(AND(I19&gt;0,[3]EvaluaciónRiesgoCorrup!$F$11&gt;50,[3]EvaluaciónRiesgoCorrup!$F$11&lt;76,D19=5,E19=10),$E$29,IF(AND(I19&gt;0,[3]EvaluaciónRiesgoCorrup!$F$11&gt;50,[3]EvaluaciónRiesgoCorrup!$F$11&lt;76,D19=5,E19=20),$F$29," ")))</f>
        <v xml:space="preserve"> </v>
      </c>
      <c r="BI19" s="29" t="str">
        <f>IF(AND(I19&gt;0,[3]EvaluaciónRiesgoCorrup!$F$11&lt;51,D19=1,E19=5),$E$25,IF(AND(I19&gt;0,[3]EvaluaciónRiesgoCorrup!$F$11&lt;51,D19=1,E19=10),$F$25,IF(AND(I19&gt;0,[3]EvaluaciónRiesgoCorrup!$F$11&lt;51,D19=1,E19=20),$G$25," ")))</f>
        <v xml:space="preserve"> </v>
      </c>
      <c r="BJ19" s="29" t="str">
        <f>IF(AND(I19&gt;0,[3]EvaluaciónRiesgoCorrup!$F$11&lt;51,D19=2,E19=5),$E$26,IF(AND(I19&gt;0,[3]EvaluaciónRiesgoCorrup!$F$11&lt;51,D19=2,E19=10),$F$26,IF(AND(I19&gt;0,[3]EvaluaciónRiesgoCorrup!$F$11&lt;51,D19=2,E19=20),$G$26," ")))</f>
        <v xml:space="preserve"> </v>
      </c>
      <c r="BK19" s="29" t="str">
        <f>IF(AND(I19&gt;0,[3]EvaluaciónRiesgoCorrup!$F$11&lt;51,D19=3,E19=5),$E$27,IF(AND(I19&gt;0,[3]EvaluaciónRiesgoCorrup!$F$11&lt;51,D19=3,E19=10),$F$27,IF(AND(I19&gt;0,[3]EvaluaciónRiesgoCorrup!$F$11&lt;51,D19=3,E19=20),$G$27," ")))</f>
        <v xml:space="preserve"> </v>
      </c>
      <c r="BL19" s="29" t="str">
        <f>IF(AND(I19&gt;0,[3]EvaluaciónRiesgoCorrup!$F$11&lt;51,D19=4,E19=5),$E$28,IF(AND(I19&gt;0,[3]EvaluaciónRiesgoCorrup!$F$11&lt;51,D19=4,E19=10),$F$28,IF(AND(I19&gt;0,[3]EvaluaciónRiesgoCorrup!$F$11&lt;51,D19=4,E19=20),$G$28," ")))</f>
        <v xml:space="preserve"> </v>
      </c>
      <c r="BM19" s="29" t="str">
        <f>IF(AND(I19&gt;0,[3]EvaluaciónRiesgoCorrup!$F$11&lt;51,D19=5,E19=5),$E$29,IF(AND(I19&gt;0,[3]EvaluaciónRiesgoCorrup!$F$11&lt;51,D19=5,E19=10),$F$29,IF(AND(I19&gt;0,[3]EvaluaciónRiesgoCorrup!$F$11&lt;51,D19=5,E19=20),$G$29," ")))</f>
        <v xml:space="preserve"> </v>
      </c>
    </row>
    <row r="20" spans="1:65" ht="13.9" x14ac:dyDescent="0.3">
      <c r="A20" s="55"/>
      <c r="B20" s="22"/>
      <c r="C20" s="22"/>
    </row>
    <row r="21" spans="1:65" ht="13.9" x14ac:dyDescent="0.3">
      <c r="A21" s="29"/>
      <c r="B21" s="31"/>
      <c r="C21" s="31"/>
    </row>
    <row r="22" spans="1:65" ht="15" thickBot="1" x14ac:dyDescent="0.3">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3:D24"/>
    <mergeCell ref="E23:G23"/>
    <mergeCell ref="K15:M15"/>
  </mergeCells>
  <conditionalFormatting sqref="F17:F19 J17:J19">
    <cfRule type="containsText" dxfId="55" priority="1" operator="containsText" text="E">
      <formula>NOT(ISERROR(SEARCH("E",F17)))</formula>
    </cfRule>
    <cfRule type="containsText" dxfId="54" priority="2" operator="containsText" text="M">
      <formula>NOT(ISERROR(SEARCH("M",F17)))</formula>
    </cfRule>
    <cfRule type="containsText" dxfId="53" priority="3" operator="containsText" text="A">
      <formula>NOT(ISERROR(SEARCH("A",F17)))</formula>
    </cfRule>
    <cfRule type="containsText" dxfId="52"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view="pageBreakPreview" zoomScale="30" zoomScaleNormal="70" zoomScaleSheetLayoutView="3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21.7109375" style="2" customWidth="1"/>
    <col min="11" max="11" width="19.85546875" style="2" customWidth="1"/>
    <col min="12" max="12" width="30.28515625" style="2" customWidth="1"/>
    <col min="13" max="13" width="20.140625"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[4]IdentRiesgo!B2</f>
        <v>Generación de conocimiento e investigación</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[4]IdentRiesgo!B3</f>
        <v xml:space="preserve">Generar conocimiento e investigación sobre la dinámica de los recursos naturales y su interacción con la sociedad, para la toma de decisiones. </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119</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62"/>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62" t="s">
        <v>28</v>
      </c>
      <c r="E16" s="62" t="s">
        <v>12</v>
      </c>
      <c r="F16" s="62" t="s">
        <v>29</v>
      </c>
      <c r="G16" s="107"/>
      <c r="H16" s="19" t="s">
        <v>28</v>
      </c>
      <c r="I16" s="19" t="s">
        <v>12</v>
      </c>
      <c r="J16" s="61" t="s">
        <v>29</v>
      </c>
      <c r="K16" s="62" t="s">
        <v>30</v>
      </c>
      <c r="L16" s="62" t="s">
        <v>26</v>
      </c>
      <c r="M16" s="62" t="s">
        <v>31</v>
      </c>
      <c r="N16" s="110"/>
      <c r="O16" s="110"/>
      <c r="P16" s="110"/>
      <c r="Q16" s="110"/>
    </row>
    <row r="17" spans="1:65" ht="153.75" customHeight="1" x14ac:dyDescent="0.25">
      <c r="A17" s="22" t="str">
        <f>[4]IdentRiesgo!A6</f>
        <v>Lentitud de los procesos de formalización de la información.</v>
      </c>
      <c r="B17" s="22" t="str">
        <f>[4]IdentRiesgo!B6</f>
        <v xml:space="preserve">Divulgar información no formalizada </v>
      </c>
      <c r="C17" s="22" t="str">
        <f>[4]IdentRiesgo!D6</f>
        <v xml:space="preserve">Procesos disciplinarios.
Acciones legales contra el Instituto .  
Perdida de credibilidad del Instituto. </v>
      </c>
      <c r="D17" s="23">
        <f>IF([4]AnálisisRiesgo!B9&gt;0,5,IF([4]AnálisisRiesgo!C9&gt;0,4,IF([4]AnálisisRiesgo!D9&gt;0,3,IF([4]AnálisisRiesgo!E9&gt;0,2,IF([4]AnálisisRiesgo!F9&gt;0,1,"")))))</f>
        <v>3</v>
      </c>
      <c r="E17" s="23">
        <f>IF([4]AnálisisRiesgo!G9&gt;0,5,IF([4]AnálisisRiesgo!H9&gt;0,4,IF([4]AnálisisRiesgo!I9&gt;0,3,IF([4]AnálisisRiesgo!J9&gt;0,2,IF([4]AnálisisRiesgo!K9&gt;0,1,IF([4]AnálisisRiesgo!L9&gt;0,20,IF([4]AnálisisRiesgo!M9&gt;0,10,IF([4]AnálisisRiesgo!N9&gt;0,5,""))))))))</f>
        <v>5</v>
      </c>
      <c r="F17" s="23" t="str">
        <f>CONCATENATE(S17,T17,U17,V17,W17)</f>
        <v xml:space="preserve">  M  </v>
      </c>
      <c r="G17" s="23" t="s">
        <v>120</v>
      </c>
      <c r="H17" s="25" t="s">
        <v>83</v>
      </c>
      <c r="I17" s="26"/>
      <c r="J17" s="23" t="str">
        <f>CONCATENATE(Z17,AA17,AB17,AC17,AD17,AF17,AG17,AH17,AI17,AJ17,AM17,AN17,AO17,AP17,AQ17,AU17,AV17,AW17,AX17,AY17,BB17,BC17,BD17,BE17,BF17,BI17,BJ17,BK17,BL17,BM17)</f>
        <v xml:space="preserve">  B                           </v>
      </c>
      <c r="K17" s="23" t="s">
        <v>121</v>
      </c>
      <c r="L17" s="23" t="s">
        <v>122</v>
      </c>
      <c r="M17" s="23" t="s">
        <v>123</v>
      </c>
      <c r="N17" s="27"/>
      <c r="O17" s="27"/>
      <c r="P17" s="27"/>
      <c r="Q17" s="29"/>
      <c r="S17" s="29" t="str">
        <f>IF(AND(D17=1,E17=5),$E$25,IF(AND(D17=1,E17=10),$F$25,IF(AND(D17=1,E17=20),$G$25," ")))</f>
        <v xml:space="preserve"> </v>
      </c>
      <c r="T17" s="29" t="str">
        <f>IF(AND(D17=2,E17=5),$E$26,IF(AND(D17=2,E17=10),$F$26,IF(AND(D17=2,E17=20),$G$26," ")))</f>
        <v xml:space="preserve"> </v>
      </c>
      <c r="U17" s="29" t="str">
        <f>IF(AND(D17=3,E17=5),$E$27,IF(AND(D17=3,E17=10),$F$27,IF(AND(D17=3,E17=20),$G$27," ")))</f>
        <v>M</v>
      </c>
      <c r="V17" s="29" t="str">
        <f>IF(AND(D17=4,E17=5),$E$28,IF(AND(D17=4,E17=10),$F$28,IF(AND(D17=4,E17=20),$G$28," ")))</f>
        <v xml:space="preserve"> </v>
      </c>
      <c r="W17" s="29" t="str">
        <f>IF(AND(D17=5,E17=5),$E$29,IF(AND(D17=5,E17=10),$F$29,IF(AND(D17=5,E17=20),$G$29," ")))</f>
        <v xml:space="preserve"> </v>
      </c>
      <c r="Y17" s="30" t="s">
        <v>35</v>
      </c>
      <c r="Z17" s="29" t="str">
        <f>IF(AND(H17&gt;0,[4]EvaluaciónRiesgoCorrup!$F$11&gt;75,D17=1,E17=5),$E$25,IF(AND(H17&gt;0,[4]EvaluaciónRiesgoCorrup!$F$11&gt;75,D17=1,E17=10),$F$25,IF(AND(H17&gt;0,[4]EvaluaciónRiesgoCorrup!$F$11&gt;75,D17=1,E17=20),$G$25," ")))</f>
        <v xml:space="preserve"> </v>
      </c>
      <c r="AA17" s="29" t="str">
        <f>IF(AND(H17&gt;0,[4]EvaluaciónRiesgoCorrup!$F$11&gt;75,D17=2,E17=5),$E$25,IF(AND(H17&gt;0,[4]EvaluaciónRiesgoCorrup!$F$11&gt;75,D17=2,E17=10),$F$25,IF(AND(H17&gt;0,[4]EvaluaciónRiesgoCorrup!$F$11&gt;75,D17=2,E17=20),$G$25," ")))</f>
        <v xml:space="preserve"> </v>
      </c>
      <c r="AB17" s="29" t="str">
        <f>IF(AND(H17&gt;0,[4]EvaluaciónRiesgoCorrup!$F$11&gt;75,D17=3,E17=5),$E$25,IF(AND(H17&gt;0,[4]EvaluaciónRiesgoCorrup!$F$11&gt;75,D17=3,E17=10),$F$25,IF(AND(H17&gt;0,[4]EvaluaciónRiesgoCorrup!$F$11&gt;75,D17=3,E17=20),$G$25," ")))</f>
        <v>B</v>
      </c>
      <c r="AC17" s="29" t="str">
        <f>IF(AND(H17&gt;0,[4]EvaluaciónRiesgoCorrup!$F$11&gt;75,D17=4,E17=5),$E$26,IF(AND(H17&gt;0,[4]EvaluaciónRiesgoCorrup!$F$11&gt;75,D17=4,E17=10),$F$26,IF(AND(H17&gt;0,[4]EvaluaciónRiesgoCorrup!$F$11&gt;75,D17=4,E17=20),$G$26," ")))</f>
        <v xml:space="preserve"> </v>
      </c>
      <c r="AD17" s="29" t="str">
        <f>IF(AND(H17&gt;0,[4]EvaluaciónRiesgoCorrup!$F$11&gt;75,D17=5,E17=5),$E$27,IF(AND(H17&gt;0,[4]EvaluaciónRiesgoCorrup!$F$11&gt;75,D17=5,E17=10),$F$27,IF(AND(H17&gt;0,[4]EvaluaciónRiesgoCorrup!$F$11&gt;75,D17=5,E17=20),$G$27," ")))</f>
        <v xml:space="preserve"> </v>
      </c>
      <c r="AE17" s="30" t="s">
        <v>36</v>
      </c>
      <c r="AF17" s="29" t="str">
        <f>IF(AND(H17&gt;0,[4]EvaluaciónRiesgoCorrup!$F$11&gt;50,[4]EvaluaciónRiesgoCorrup!$F$11&lt;76,D17=1,E17=5),$E$25,IF(AND(H17&gt;0,[4]EvaluaciónRiesgoCorrup!$F$11&gt;50,[4]EvaluaciónRiesgoCorrup!$F$11&lt;76,D17=1,E17=10),$F$25,IF(AND(H17&gt;0,[4]EvaluaciónRiesgoCorrup!$F$11&gt;50,[4]EvaluaciónRiesgoCorrup!$F$11&lt;76,D17=1,E17=20),$G$25," ")))</f>
        <v xml:space="preserve"> </v>
      </c>
      <c r="AG17" s="29" t="str">
        <f>IF(AND(H17&gt;0,[4]EvaluaciónRiesgoCorrup!$F$11&gt;50,[4]EvaluaciónRiesgoCorrup!$F$11&lt;76,D17=2,E17=5),$E$25,IF(AND(H17&gt;0,[4]EvaluaciónRiesgoCorrup!$F$11&gt;50,[4]EvaluaciónRiesgoCorrup!$F$11&lt;76,D17=2,E17=10),$F$25,IF(AND(H17&gt;0,[4]EvaluaciónRiesgoCorrup!$F$11&gt;50,[4]EvaluaciónRiesgoCorrup!$F$11&lt;76,D17=2,E17=20),$G$25," ")))</f>
        <v xml:space="preserve"> </v>
      </c>
      <c r="AH17" s="29" t="str">
        <f>IF(AND(H17&gt;0,[4]EvaluaciónRiesgoCorrup!$F$11&gt;50,[4]EvaluaciónRiesgoCorrup!$F$11&lt;76,D17=3,E17=5),$E$26,IF(AND(H17&gt;0,[4]EvaluaciónRiesgoCorrup!$F$11&gt;50,[4]EvaluaciónRiesgoCorrup!$F$11&lt;76,D17=3,E17=10),$F$26,IF(AND(H17&gt;0,[4]EvaluaciónRiesgoCorrup!$F$11&gt;50,[4]EvaluaciónRiesgoCorrup!$F$11&lt;76,D17=3,E17=20),$G$26," ")))</f>
        <v xml:space="preserve"> </v>
      </c>
      <c r="AI17" s="29" t="str">
        <f>IF(AND(H17&gt;0,[4]EvaluaciónRiesgoCorrup!$F$11&gt;50,[4]EvaluaciónRiesgoCorrup!$F$11&lt;76,D17=4,E17=5),$E$27,IF(AND(H17&gt;0,[4]EvaluaciónRiesgoCorrup!$F$11&gt;50,[4]EvaluaciónRiesgoCorrup!$F$11&lt;76,D17=4,E17=10),$F$27,IF(AND(H17&gt;0,[4]EvaluaciónRiesgoCorrup!$F$11&gt;50,[4]EvaluaciónRiesgoCorrup!$F$11&lt;76,D17=4,E17=20),$G$27," ")))</f>
        <v xml:space="preserve"> </v>
      </c>
      <c r="AJ17" s="29" t="str">
        <f>IF(AND(H17&gt;0,[4]EvaluaciónRiesgoCorrup!$F$11&gt;50,[4]EvaluaciónRiesgoCorrup!$F$11&lt;76,D17=5,E17=5),$E$28,IF(AND(H17&gt;0,[4]EvaluaciónRiesgoCorrup!$F$11&gt;50,[4]EvaluaciónRiesgoCorrup!$F$11&lt;76,D17=5,E17=10),$F$28,IF(AND(H17&gt;0,[4]EvaluaciónRiesgoCorrup!$F$11&gt;50,[4]EvaluaciónRiesgoCorrup!$F$11&lt;76,D17=5,E17=20),$G$28," ")))</f>
        <v xml:space="preserve"> </v>
      </c>
      <c r="AL17" s="30" t="s">
        <v>37</v>
      </c>
      <c r="AM17" s="29" t="str">
        <f>IF(AND(H17&gt;0,[4]EvaluaciónRiesgoCorrup!$F$11&lt;51,D17=1,E17=5),$E$25,IF(AND(H17&gt;0,[4]EvaluaciónRiesgoCorrup!$F$11&lt;51,D17=1,E17=10),$F$25,IF(AND(H17&gt;0,[4]EvaluaciónRiesgoCorrup!$F$11&lt;51,D17=1,E17=20),G$25," ")))</f>
        <v xml:space="preserve"> </v>
      </c>
      <c r="AN17" s="29" t="str">
        <f>IF(AND(H17&gt;0,[4]EvaluaciónRiesgoCorrup!$F$11&lt;51,D17=2,E17=5),$E$26,IF(AND(H17&gt;0,[4]EvaluaciónRiesgoCorrup!$F$11&lt;51,D17=2,E17=10),$F$26,IF(AND(H17&gt;0,[4]EvaluaciónRiesgoCorrup!$F$11&lt;51,D17=2,E17=20),G$26," ")))</f>
        <v xml:space="preserve"> </v>
      </c>
      <c r="AO17" s="29" t="str">
        <f>IF(AND(H17&gt;0,[4]EvaluaciónRiesgoCorrup!$F$11&lt;51,D17=3,E17=5),$E$27,IF(AND(H17&gt;0,[4]EvaluaciónRiesgoCorrup!$F$11&lt;51,D17=3,E17=10),$F$27,IF(AND(H17&gt;0,[4]EvaluaciónRiesgoCorrup!$F$11&lt;51,D17=3,E17=20),G$27," ")))</f>
        <v xml:space="preserve"> </v>
      </c>
      <c r="AP17" s="29" t="str">
        <f>IF(AND(H17&gt;0,[4]EvaluaciónRiesgoCorrup!$F$11&lt;51,D17=4,E17=5),$E$28,IF(AND(H17&gt;0,[4]EvaluaciónRiesgoCorrup!$F$11&lt;51,D17=4,E17=10),$F$28,IF(AND(H17&gt;0,[4]EvaluaciónRiesgoCorrup!$F$11&lt;51,D17=4,E17=20),G$28," ")))</f>
        <v xml:space="preserve"> </v>
      </c>
      <c r="AQ17" s="29" t="str">
        <f>IF(AND(H17&gt;0,[4]EvaluaciónRiesgoCorrup!$F$11&lt;51,D17=5,E17=5),$E$29,IF(AND(H17&gt;0,[4]EvaluaciónRiesgoCorrup!$F$11&lt;51,D17=5,E17=10),$F$29,IF(AND(H17&gt;0,[4]EvaluaciónRiesgoCorrup!$F$11&lt;51,D17=5,E17=20),G$29," ")))</f>
        <v xml:space="preserve"> </v>
      </c>
      <c r="AT17" s="30" t="s">
        <v>35</v>
      </c>
      <c r="AU17" s="29" t="str">
        <f>IF(AND(I17&gt;0,[4]EvaluaciónRiesgoCorrup!$F$11&gt;75,D17=1,E17=5),$E$25,IF(AND(I17&gt;0,[4]EvaluaciónRiesgoCorrup!$F$11&gt;75,D17=1,E17=10),$E$25,IF(AND(I17&gt;0,[4]EvaluaciónRiesgoCorrup!$F$11&gt;75,D17=1,E17=20),$E$25," ")))</f>
        <v xml:space="preserve"> </v>
      </c>
      <c r="AV17" s="29" t="str">
        <f>IF(AND(I17&gt;0,[4]EvaluaciónRiesgoCorrup!$F$11&gt;75,D17=2,E17=5),$E$26,IF(AND(I17&gt;0,[4]EvaluaciónRiesgoCorrup!$F$11&gt;75,D17=2,E17=10),$E$26,IF(AND(I17&gt;0,[4]EvaluaciónRiesgoCorrup!$F$11&gt;75,D17=2,E17=20),$E$26," ")))</f>
        <v xml:space="preserve"> </v>
      </c>
      <c r="AW17" s="29" t="str">
        <f>IF(AND(I17&gt;0,[4]EvaluaciónRiesgoCorrup!$F$11&gt;75,D17=3,E17=5),$E$27,IF(AND(I17&gt;0,[4]EvaluaciónRiesgoCorrup!$F$11&gt;75,D17=3,E17=10),$E$27,IF(AND(I17&gt;0,[4]EvaluaciónRiesgoCorrup!$F$11&gt;75,D17=3,E17=20),$E$27," ")))</f>
        <v xml:space="preserve"> </v>
      </c>
      <c r="AX17" s="29" t="str">
        <f>IF(AND(I17&gt;0,[4]EvaluaciónRiesgoCorrup!$F$11&gt;75,D17=4,E17=5),$E$28,IF(AND(I17&gt;0,[4]EvaluaciónRiesgoCorrup!$F$11&gt;75,D17=4,E17=10),$E$28,IF(AND(I17&gt;0,[4]EvaluaciónRiesgoCorrup!$F$11&gt;75,D17=4,E17=20),$E$28," ")))</f>
        <v xml:space="preserve"> </v>
      </c>
      <c r="AY17" s="29" t="str">
        <f>IF(AND(I17&gt;0,[4]EvaluaciónRiesgoCorrup!$F$11&gt;75,D17=5,E17=5),$E$29,IF(AND(I17&gt;0,[4]EvaluaciónRiesgoCorrup!$F$11&gt;75,D17=5,E17=10),$E$29,IF(AND(I17&gt;0,[4]EvaluaciónRiesgoCorrup!$F$11&gt;75,D17=5,E17=20),$E$29," ")))</f>
        <v xml:space="preserve"> </v>
      </c>
      <c r="BA17" s="30" t="s">
        <v>36</v>
      </c>
      <c r="BB17" s="29" t="str">
        <f>IF(AND(I17&gt;0,[4]EvaluaciónRiesgoCorrup!$F$11&gt;50,[4]EvaluaciónRiesgoCorrup!$F$11&lt;76,D17=1,E17=5),$E$25,IF(AND(I17&gt;0,[4]EvaluaciónRiesgoCorrup!$F$11&gt;50,[4]EvaluaciónRiesgoCorrup!$F$11&lt;76,D17=1,E17=10),$E$25,IF(AND(I17&gt;0,[4]EvaluaciónRiesgoCorrup!$F$11&gt;50,[4]EvaluaciónRiesgoCorrup!$F$11&lt;76,D17=1,E17=20),$F$25," ")))</f>
        <v xml:space="preserve"> </v>
      </c>
      <c r="BC17" s="29" t="str">
        <f>IF(AND(I17&gt;0,[4]EvaluaciónRiesgoCorrup!$F$11&gt;50,[4]EvaluaciónRiesgoCorrup!$F$11&lt;76,D17=2,E17=5),$E$26,IF(AND(I17&gt;0,[4]EvaluaciónRiesgoCorrup!$F$11&gt;50,[4]EvaluaciónRiesgoCorrup!$F$11&lt;76,D17=2,E17=10),$E$26,IF(AND(I17&gt;0,[4]EvaluaciónRiesgoCorrup!$F$11&gt;50,[4]EvaluaciónRiesgoCorrup!$F$11&lt;76,D17=2,E17=20),$F$26," ")))</f>
        <v xml:space="preserve"> </v>
      </c>
      <c r="BD17" s="29" t="str">
        <f>IF(AND(I17&gt;0,[4]EvaluaciónRiesgoCorrup!$F$11&gt;50,[4]EvaluaciónRiesgoCorrup!$F$11&lt;76,D17=3,E17=5),$E$27,IF(AND(I17&gt;0,[4]EvaluaciónRiesgoCorrup!$F$11&gt;50,[4]EvaluaciónRiesgoCorrup!$F$11&lt;76,D17=3,E17=10),$E$27,IF(AND(I17&gt;0,[4]EvaluaciónRiesgoCorrup!$F$11&gt;50,[4]EvaluaciónRiesgoCorrup!$F$11&lt;76,D17=3,E17=20),$F$27," ")))</f>
        <v xml:space="preserve"> </v>
      </c>
      <c r="BE17" s="29" t="str">
        <f>IF(AND(I17&gt;0,[4]EvaluaciónRiesgoCorrup!$F$11&gt;50,[4]EvaluaciónRiesgoCorrup!$F$11&lt;76,D17=4,E17=5),$E$28,IF(AND(I17&gt;0,[4]EvaluaciónRiesgoCorrup!$F$11&gt;50,[4]EvaluaciónRiesgoCorrup!$F$11&lt;76,D17=4,E17=10),$E$28,IF(AND(I17&gt;0,[4]EvaluaciónRiesgoCorrup!$F$11&gt;50,[4]EvaluaciónRiesgoCorrup!$F$11&lt;76,D17=4,E17=20),$F$28," ")))</f>
        <v xml:space="preserve"> </v>
      </c>
      <c r="BF17" s="29" t="str">
        <f>IF(AND(I17&gt;0,[4]EvaluaciónRiesgoCorrup!$F$11&gt;50,[4]EvaluaciónRiesgoCorrup!$F$11&lt;76,D17=5,E17=5),$E$29,IF(AND(I17&gt;0,[4]EvaluaciónRiesgoCorrup!$F$11&gt;50,[4]EvaluaciónRiesgoCorrup!$F$11&lt;76,D17=5,E17=10),$E$29,IF(AND(I17&gt;0,[4]EvaluaciónRiesgoCorrup!$F$11&gt;50,[4]EvaluaciónRiesgoCorrup!$F$11&lt;76,D17=5,E17=20),$F$29," ")))</f>
        <v xml:space="preserve"> </v>
      </c>
      <c r="BH17" s="30" t="s">
        <v>37</v>
      </c>
      <c r="BI17" s="29" t="str">
        <f>IF(AND(I17&gt;0,[4]EvaluaciónRiesgoCorrup!$F$11&lt;51,D17=1,E17=5),$E$25,IF(AND(I17&gt;0,[4]EvaluaciónRiesgoCorrup!$F$11&lt;51,D17=1,E17=10),$F$25,IF(AND(I17&gt;0,[4]EvaluaciónRiesgoCorrup!$F$11&lt;51,D17=1,E17=20),$G$25," ")))</f>
        <v xml:space="preserve"> </v>
      </c>
      <c r="BJ17" s="29" t="str">
        <f>IF(AND(I17&gt;0,[4]EvaluaciónRiesgoCorrup!$F$11&lt;51,D17=2,E17=5),$E$26,IF(AND(I17&gt;0,[4]EvaluaciónRiesgoCorrup!$F$11&lt;51,D17=2,E17=10),$F$26,IF(AND(I17&gt;0,[4]EvaluaciónRiesgoCorrup!$F$11&lt;51,D17=2,E17=20),$G$26," ")))</f>
        <v xml:space="preserve"> </v>
      </c>
      <c r="BK17" s="29" t="str">
        <f>IF(AND(I17&gt;0,[4]EvaluaciónRiesgoCorrup!$F$11&lt;51,D17=3,E17=5),$E$27,IF(AND(I17&gt;0,[4]EvaluaciónRiesgoCorrup!$F$11&lt;51,D17=3,E17=10),$F$27,IF(AND(I17&gt;0,[4]EvaluaciónRiesgoCorrup!$F$11&lt;51,D17=3,E17=20),$G$27," ")))</f>
        <v xml:space="preserve"> </v>
      </c>
      <c r="BL17" s="29" t="str">
        <f>IF(AND(I17&gt;0,[4]EvaluaciónRiesgoCorrup!$F$11&lt;51,D17=4,E17=5),$E$28,IF(AND(I17&gt;0,[4]EvaluaciónRiesgoCorrup!$F$11&lt;51,D17=4,E17=10),$F$28,IF(AND(I17&gt;0,[4]EvaluaciónRiesgoCorrup!$F$11&lt;51,D17=4,E17=20),$G$28," ")))</f>
        <v xml:space="preserve"> </v>
      </c>
      <c r="BM17" s="29" t="str">
        <f>IF(AND(I17&gt;0,[4]EvaluaciónRiesgoCorrup!$F$11&lt;51,D17=5,E17=5),$E$29,IF(AND(I17&gt;0,[4]EvaluaciónRiesgoCorrup!$F$11&lt;51,D17=5,E17=10),$F$29,IF(AND(I17&gt;0,[4]EvaluaciónRiesgoCorrup!$F$11&lt;51,D17=5,E17=20),$G$29," ")))</f>
        <v xml:space="preserve"> </v>
      </c>
    </row>
    <row r="18" spans="1:65" ht="153.75" customHeight="1" x14ac:dyDescent="0.3">
      <c r="A18" s="60">
        <f>[4]IdentRiesgo!A7</f>
        <v>0</v>
      </c>
      <c r="B18" s="22">
        <f>[4]IdentRiesgo!B7</f>
        <v>0</v>
      </c>
      <c r="C18" s="22">
        <f>[4]IdentRiesgo!D7</f>
        <v>0</v>
      </c>
      <c r="D18" s="23" t="str">
        <f>IF([4]AnálisisRiesgo!B10&gt;0,5,IF([4]AnálisisRiesgo!C10&gt;0,4,IF([4]AnálisisRiesgo!D10&gt;0,3,IF([4]AnálisisRiesgo!E10&gt;0,2,IF([4]AnálisisRiesgo!F10&gt;0,1,"")))))</f>
        <v/>
      </c>
      <c r="E18" s="23" t="str">
        <f>IF([4]AnálisisRiesgo!G10&gt;0,5,IF([4]AnálisisRiesgo!H10&gt;0,4,IF([4]AnálisisRiesgo!I10&gt;0,3,IF([4]AnálisisRiesgo!J10&gt;0,2,IF([4]AnálisisRiesgo!K10&gt;0,1,IF([4]AnálisisRiesgo!L10&gt;0,20,IF([4]AnálisisRiesgo!M10&gt;0,10,IF([4]AnálisisRiesgo!N10&gt;0,5,""))))))))</f>
        <v/>
      </c>
      <c r="F18" s="23" t="str">
        <f t="shared" ref="F18:F19" si="0">CONCATENATE(S18,T18,U18,V18,W18)</f>
        <v xml:space="preserve">     </v>
      </c>
      <c r="G18" s="24"/>
      <c r="H18" s="25"/>
      <c r="I18" s="26"/>
      <c r="J18" s="23" t="str">
        <f t="shared" ref="J18:J19" si="1">CONCATENATE(Z18,AA18,AB18,AC18,AD18,AF18,AG18,AH18,AI18,AJ18,AM18,AN18,AO18,AP18,AQ18,AU18,AV18,AW18,AX18,AY18,BB18,BC18,BD18,BE18,BF18,BI18,BJ18,BK18,BL18,BM18)</f>
        <v xml:space="preserve">                              </v>
      </c>
      <c r="K18" s="23"/>
      <c r="L18" s="23"/>
      <c r="M18" s="23"/>
      <c r="N18" s="27"/>
      <c r="O18" s="27"/>
      <c r="P18" s="27"/>
      <c r="Q18" s="29"/>
      <c r="S18" s="29" t="str">
        <f>IF(AND(D18=1,E18=5),$E$25,IF(AND(D18=1,E18=10),$F$25,IF(AND(D18=1,E18=20),$G$25," ")))</f>
        <v xml:space="preserve"> </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IF(AND(H18&gt;0,[4]EvaluaciónRiesgoCorrup!$F$11&gt;75,D18=1,E18=5),$E$25,IF(AND(H18&gt;0,[4]EvaluaciónRiesgoCorrup!$F$11&gt;75,D18=1,E18=10),$F$25,IF(AND(H18&gt;0,[4]EvaluaciónRiesgoCorrup!$F$11&gt;75,D18=1,E18=20),$G$25," ")))</f>
        <v xml:space="preserve"> </v>
      </c>
      <c r="AA18" s="29" t="str">
        <f>IF(AND(H18&gt;0,[4]EvaluaciónRiesgoCorrup!$F$11&gt;75,D18=2,E18=5),$E$25,IF(AND(H18&gt;0,[4]EvaluaciónRiesgoCorrup!$F$11&gt;75,D18=2,E18=10),$F$25,IF(AND(H18&gt;0,[4]EvaluaciónRiesgoCorrup!$F$11&gt;75,D18=2,E18=20),$G$25," ")))</f>
        <v xml:space="preserve"> </v>
      </c>
      <c r="AB18" s="29" t="str">
        <f>IF(AND(H18&gt;0,[4]EvaluaciónRiesgoCorrup!$F$11&gt;75,D18=3,E18=5),$E$25,IF(AND(H18&gt;0,[4]EvaluaciónRiesgoCorrup!$F$11&gt;75,D18=3,E18=10),$F$25,IF(AND(H18&gt;0,[4]EvaluaciónRiesgoCorrup!$F$11&gt;75,D18=3,E18=20),$G$25," ")))</f>
        <v xml:space="preserve"> </v>
      </c>
      <c r="AC18" s="29" t="str">
        <f>IF(AND(H18&gt;0,[4]EvaluaciónRiesgoCorrup!$F$11&gt;75,D18=4,E18=5),$E$26,IF(AND(H18&gt;0,[4]EvaluaciónRiesgoCorrup!$F$11&gt;75,D18=4,E18=10),$F$26,IF(AND(H18&gt;0,[4]EvaluaciónRiesgoCorrup!$F$11&gt;75,D18=4,E18=20),$G$26," ")))</f>
        <v xml:space="preserve"> </v>
      </c>
      <c r="AD18" s="29" t="str">
        <f>IF(AND(H18&gt;0,[4]EvaluaciónRiesgoCorrup!$F$11&gt;75,D18=5,E18=5),$E$27,IF(AND(H18&gt;0,[4]EvaluaciónRiesgoCorrup!$F$11&gt;75,D18=5,E18=10),$F$27,IF(AND(H18&gt;0,[4]EvaluaciónRiesgoCorrup!$F$11&gt;75,D18=5,E18=20),$G$27," ")))</f>
        <v xml:space="preserve"> </v>
      </c>
      <c r="AF18" s="29" t="str">
        <f>IF(AND(H18&gt;0,[4]EvaluaciónRiesgoCorrup!$F$11&gt;50,[4]EvaluaciónRiesgoCorrup!$F$11&lt;76,D18=1,E18=5),$E$25,IF(AND(H18&gt;0,[4]EvaluaciónRiesgoCorrup!$F$11&gt;50,[4]EvaluaciónRiesgoCorrup!$F$11&lt;76,D18=1,E18=10),$F$25,IF(AND(H18&gt;0,[4]EvaluaciónRiesgoCorrup!$F$11&gt;50,[4]EvaluaciónRiesgoCorrup!$F$11&lt;76,D18=1,E18=20),$G$25," ")))</f>
        <v xml:space="preserve"> </v>
      </c>
      <c r="AG18" s="29" t="str">
        <f>IF(AND(H18&gt;0,[4]EvaluaciónRiesgoCorrup!$F$11&gt;50,[4]EvaluaciónRiesgoCorrup!$F$11&lt;76,D18=2,E18=5),$E$25,IF(AND(H18&gt;0,[4]EvaluaciónRiesgoCorrup!$F$11&gt;50,[4]EvaluaciónRiesgoCorrup!$F$11&lt;76,D18=2,E18=10),$F$25,IF(AND(H18&gt;0,[4]EvaluaciónRiesgoCorrup!$F$11&gt;50,[4]EvaluaciónRiesgoCorrup!$F$11&lt;76,D18=2,E18=20),$G$25," ")))</f>
        <v xml:space="preserve"> </v>
      </c>
      <c r="AH18" s="29" t="str">
        <f>IF(AND(H18&gt;0,[4]EvaluaciónRiesgoCorrup!$F$11&gt;50,[4]EvaluaciónRiesgoCorrup!$F$11&lt;76,D18=3,E18=5),$E$26,IF(AND(H18&gt;0,[4]EvaluaciónRiesgoCorrup!$F$11&gt;50,[4]EvaluaciónRiesgoCorrup!$F$11&lt;76,D18=3,E18=10),$F$26,IF(AND(H18&gt;0,[4]EvaluaciónRiesgoCorrup!$F$11&gt;50,[4]EvaluaciónRiesgoCorrup!$F$11&lt;76,D18=3,E18=20),$G$26," ")))</f>
        <v xml:space="preserve"> </v>
      </c>
      <c r="AI18" s="29" t="str">
        <f>IF(AND(H18&gt;0,[4]EvaluaciónRiesgoCorrup!$F$11&gt;50,[4]EvaluaciónRiesgoCorrup!$F$11&lt;76,D18=4,E18=5),$E$27,IF(AND(H18&gt;0,[4]EvaluaciónRiesgoCorrup!$F$11&gt;50,[4]EvaluaciónRiesgoCorrup!$F$11&lt;76,D18=4,E18=10),$F$27,IF(AND(H18&gt;0,[4]EvaluaciónRiesgoCorrup!$F$11&gt;50,[4]EvaluaciónRiesgoCorrup!$F$11&lt;76,D18=4,E18=20),$G$27," ")))</f>
        <v xml:space="preserve"> </v>
      </c>
      <c r="AJ18" s="29" t="str">
        <f>IF(AND(H18&gt;0,[4]EvaluaciónRiesgoCorrup!$F$11&gt;50,[4]EvaluaciónRiesgoCorrup!$F$11&lt;76,D18=5,E18=5),$E$28,IF(AND(H18&gt;0,[4]EvaluaciónRiesgoCorrup!$F$11&gt;50,[4]EvaluaciónRiesgoCorrup!$F$11&lt;76,D18=5,E18=10),$F$28,IF(AND(H18&gt;0,[4]EvaluaciónRiesgoCorrup!$F$11&gt;50,[4]EvaluaciónRiesgoCorrup!$F$11&lt;76,D18=5,E18=20),$G$28," ")))</f>
        <v xml:space="preserve"> </v>
      </c>
      <c r="AM18" s="29" t="str">
        <f>IF(AND(H18&gt;0,[4]EvaluaciónRiesgoCorrup!$F$11&lt;51,D18=1,E18=5),$E$25,IF(AND(H18&gt;0,[4]EvaluaciónRiesgoCorrup!$F$11&lt;51,D18=1,E18=10),$F$25,IF(AND(H18&gt;0,[4]EvaluaciónRiesgoCorrup!$F$11&lt;51,D18=1,E18=20),G$25," ")))</f>
        <v xml:space="preserve"> </v>
      </c>
      <c r="AN18" s="29" t="str">
        <f>IF(AND(H18&gt;0,[4]EvaluaciónRiesgoCorrup!$F$11&lt;51,D18=2,E18=5),$E$26,IF(AND(H18&gt;0,[4]EvaluaciónRiesgoCorrup!$F$11&lt;51,D18=2,E18=10),$F$26,IF(AND(H18&gt;0,[4]EvaluaciónRiesgoCorrup!$F$11&lt;51,D18=2,E18=20),G$26," ")))</f>
        <v xml:space="preserve"> </v>
      </c>
      <c r="AO18" s="29" t="str">
        <f>IF(AND(H18&gt;0,[4]EvaluaciónRiesgoCorrup!$F$11&lt;51,D18=3,E18=5),$E$27,IF(AND(H18&gt;0,[4]EvaluaciónRiesgoCorrup!$F$11&lt;51,D18=3,E18=10),$F$27,IF(AND(H18&gt;0,[4]EvaluaciónRiesgoCorrup!$F$11&lt;51,D18=3,E18=20),G$27," ")))</f>
        <v xml:space="preserve"> </v>
      </c>
      <c r="AP18" s="29" t="str">
        <f>IF(AND(H18&gt;0,[4]EvaluaciónRiesgoCorrup!$F$11&lt;51,D18=4,E18=5),$E$28,IF(AND(H18&gt;0,[4]EvaluaciónRiesgoCorrup!$F$11&lt;51,D18=4,E18=10),$F$28,IF(AND(H18&gt;0,[4]EvaluaciónRiesgoCorrup!$F$11&lt;51,D18=4,E18=20),G$28," ")))</f>
        <v xml:space="preserve"> </v>
      </c>
      <c r="AQ18" s="29" t="str">
        <f>IF(AND(H18&gt;0,[4]EvaluaciónRiesgoCorrup!$F$11&lt;51,D18=5,E18=5),$E$29,IF(AND(H18&gt;0,[4]EvaluaciónRiesgoCorrup!$F$11&lt;51,D18=5,E18=10),$F$29,IF(AND(H18&gt;0,[4]EvaluaciónRiesgoCorrup!$F$11&lt;51,D18=5,E18=20),G$29," ")))</f>
        <v xml:space="preserve"> </v>
      </c>
      <c r="AU18" s="29" t="str">
        <f>IF(AND(I18&gt;0,[4]EvaluaciónRiesgoCorrup!$F$11&gt;75,D18=1,E18=5),$E$25,IF(AND(I18&gt;0,[4]EvaluaciónRiesgoCorrup!$F$11&gt;75,D18=1,E18=10),$E$25,IF(AND(I18&gt;0,[4]EvaluaciónRiesgoCorrup!$F$11&gt;75,D18=1,E18=20),$E$25," ")))</f>
        <v xml:space="preserve"> </v>
      </c>
      <c r="AV18" s="29" t="str">
        <f>IF(AND(I18&gt;0,[4]EvaluaciónRiesgoCorrup!$F$11&gt;75,D18=2,E18=5),$E$26,IF(AND(I18&gt;0,[4]EvaluaciónRiesgoCorrup!$F$11&gt;75,D18=2,E18=10),$E$26,IF(AND(I18&gt;0,[4]EvaluaciónRiesgoCorrup!$F$11&gt;75,D18=2,E18=20),$E$26," ")))</f>
        <v xml:space="preserve"> </v>
      </c>
      <c r="AW18" s="29" t="str">
        <f>IF(AND(I18&gt;0,[4]EvaluaciónRiesgoCorrup!$F$11&gt;75,D18=3,E18=5),$E$27,IF(AND(I18&gt;0,[4]EvaluaciónRiesgoCorrup!$F$11&gt;75,D18=3,E18=10),$E$27,IF(AND(I18&gt;0,[4]EvaluaciónRiesgoCorrup!$F$11&gt;75,D18=3,E18=20),$E$27," ")))</f>
        <v xml:space="preserve"> </v>
      </c>
      <c r="AX18" s="29" t="str">
        <f>IF(AND(I18&gt;0,[4]EvaluaciónRiesgoCorrup!$F$11&gt;75,D18=4,E18=5),$E$28,IF(AND(I18&gt;0,[4]EvaluaciónRiesgoCorrup!$F$11&gt;75,D18=4,E18=10),$E$28,IF(AND(I18&gt;0,[4]EvaluaciónRiesgoCorrup!$F$11&gt;75,D18=4,E18=20),$E$28," ")))</f>
        <v xml:space="preserve"> </v>
      </c>
      <c r="AY18" s="29" t="str">
        <f>IF(AND(I18&gt;0,[4]EvaluaciónRiesgoCorrup!$F$11&gt;75,D18=5,E18=5),$E$29,IF(AND(I18&gt;0,[4]EvaluaciónRiesgoCorrup!$F$11&gt;75,D18=5,E18=10),$E$29,IF(AND(I18&gt;0,[4]EvaluaciónRiesgoCorrup!$F$11&gt;75,D18=5,E18=20),$E$29," ")))</f>
        <v xml:space="preserve"> </v>
      </c>
      <c r="BB18" s="29" t="str">
        <f>IF(AND(I18&gt;0,[4]EvaluaciónRiesgoCorrup!$F$11&gt;50,[4]EvaluaciónRiesgoCorrup!$F$11&lt;76,D18=1,E18=5),$E$25,IF(AND(I18&gt;0,[4]EvaluaciónRiesgoCorrup!$F$11&gt;50,[4]EvaluaciónRiesgoCorrup!$F$11&lt;76,D18=1,E18=10),$E$25,IF(AND(I18&gt;0,[4]EvaluaciónRiesgoCorrup!$F$11&gt;50,[4]EvaluaciónRiesgoCorrup!$F$11&lt;76,D18=1,E18=20),$F$25," ")))</f>
        <v xml:space="preserve"> </v>
      </c>
      <c r="BC18" s="29" t="str">
        <f>IF(AND(I18&gt;0,[4]EvaluaciónRiesgoCorrup!$F$11&gt;50,[4]EvaluaciónRiesgoCorrup!$F$11&lt;76,D18=2,E18=5),$E$26,IF(AND(I18&gt;0,[4]EvaluaciónRiesgoCorrup!$F$11&gt;50,[4]EvaluaciónRiesgoCorrup!$F$11&lt;76,D18=2,E18=10),$E$26,IF(AND(I18&gt;0,[4]EvaluaciónRiesgoCorrup!$F$11&gt;50,[4]EvaluaciónRiesgoCorrup!$F$11&lt;76,D18=2,E18=20),$F$26," ")))</f>
        <v xml:space="preserve"> </v>
      </c>
      <c r="BD18" s="29" t="str">
        <f>IF(AND(I18&gt;0,[4]EvaluaciónRiesgoCorrup!$F$11&gt;50,[4]EvaluaciónRiesgoCorrup!$F$11&lt;76,D18=3,E18=5),$E$27,IF(AND(I18&gt;0,[4]EvaluaciónRiesgoCorrup!$F$11&gt;50,[4]EvaluaciónRiesgoCorrup!$F$11&lt;76,D18=3,E18=10),$E$27,IF(AND(I18&gt;0,[4]EvaluaciónRiesgoCorrup!$F$11&gt;50,[4]EvaluaciónRiesgoCorrup!$F$11&lt;76,D18=3,E18=20),$F$27," ")))</f>
        <v xml:space="preserve"> </v>
      </c>
      <c r="BE18" s="29" t="str">
        <f>IF(AND(I18&gt;0,[4]EvaluaciónRiesgoCorrup!$F$11&gt;50,[4]EvaluaciónRiesgoCorrup!$F$11&lt;76,D18=4,E18=5),$E$28,IF(AND(I18&gt;0,[4]EvaluaciónRiesgoCorrup!$F$11&gt;50,[4]EvaluaciónRiesgoCorrup!$F$11&lt;76,D18=4,E18=10),$E$28,IF(AND(I18&gt;0,[4]EvaluaciónRiesgoCorrup!$F$11&gt;50,[4]EvaluaciónRiesgoCorrup!$F$11&lt;76,D18=4,E18=20),$F$28," ")))</f>
        <v xml:space="preserve"> </v>
      </c>
      <c r="BF18" s="29" t="str">
        <f>IF(AND(I18&gt;0,[4]EvaluaciónRiesgoCorrup!$F$11&gt;50,[4]EvaluaciónRiesgoCorrup!$F$11&lt;76,D18=5,E18=5),$E$29,IF(AND(I18&gt;0,[4]EvaluaciónRiesgoCorrup!$F$11&gt;50,[4]EvaluaciónRiesgoCorrup!$F$11&lt;76,D18=5,E18=10),$E$29,IF(AND(I18&gt;0,[4]EvaluaciónRiesgoCorrup!$F$11&gt;50,[4]EvaluaciónRiesgoCorrup!$F$11&lt;76,D18=5,E18=20),$F$29," ")))</f>
        <v xml:space="preserve"> </v>
      </c>
      <c r="BI18" s="29" t="str">
        <f>IF(AND(I18&gt;0,[4]EvaluaciónRiesgoCorrup!$F$11&lt;51,D18=1,E18=5),$E$25,IF(AND(I18&gt;0,[4]EvaluaciónRiesgoCorrup!$F$11&lt;51,D18=1,E18=10),$F$25,IF(AND(I18&gt;0,[4]EvaluaciónRiesgoCorrup!$F$11&lt;51,D18=1,E18=20),$G$25," ")))</f>
        <v xml:space="preserve"> </v>
      </c>
      <c r="BJ18" s="29" t="str">
        <f>IF(AND(I18&gt;0,[4]EvaluaciónRiesgoCorrup!$F$11&lt;51,D18=2,E18=5),$E$26,IF(AND(I18&gt;0,[4]EvaluaciónRiesgoCorrup!$F$11&lt;51,D18=2,E18=10),$F$26,IF(AND(I18&gt;0,[4]EvaluaciónRiesgoCorrup!$F$11&lt;51,D18=2,E18=20),$G$26," ")))</f>
        <v xml:space="preserve"> </v>
      </c>
      <c r="BK18" s="29" t="str">
        <f>IF(AND(I18&gt;0,[4]EvaluaciónRiesgoCorrup!$F$11&lt;51,D18=3,E18=5),$E$27,IF(AND(I18&gt;0,[4]EvaluaciónRiesgoCorrup!$F$11&lt;51,D18=3,E18=10),$F$27,IF(AND(I18&gt;0,[4]EvaluaciónRiesgoCorrup!$F$11&lt;51,D18=3,E18=20),$G$27," ")))</f>
        <v xml:space="preserve"> </v>
      </c>
      <c r="BL18" s="29" t="str">
        <f>IF(AND(I18&gt;0,[4]EvaluaciónRiesgoCorrup!$F$11&lt;51,D18=4,E18=5),$E$28,IF(AND(I18&gt;0,[4]EvaluaciónRiesgoCorrup!$F$11&lt;51,D18=4,E18=10),$F$28,IF(AND(I18&gt;0,[4]EvaluaciónRiesgoCorrup!$F$11&lt;51,D18=4,E18=20),$G$28," ")))</f>
        <v xml:space="preserve"> </v>
      </c>
      <c r="BM18" s="29" t="str">
        <f>IF(AND(I18&gt;0,[4]EvaluaciónRiesgoCorrup!$F$11&lt;51,D18=5,E18=5),$E$29,IF(AND(I18&gt;0,[4]EvaluaciónRiesgoCorrup!$F$11&lt;51,D18=5,E18=10),$F$29,IF(AND(I18&gt;0,[4]EvaluaciónRiesgoCorrup!$F$11&lt;51,D18=5,E18=20),$G$29," ")))</f>
        <v xml:space="preserve"> </v>
      </c>
    </row>
    <row r="19" spans="1:65" ht="153.75" customHeight="1" x14ac:dyDescent="0.3">
      <c r="A19" s="60">
        <f>[4]IdentRiesgo!A8</f>
        <v>0</v>
      </c>
      <c r="B19" s="22">
        <f>[4]IdentRiesgo!B8</f>
        <v>0</v>
      </c>
      <c r="C19" s="22">
        <f>[4]IdentRiesgo!D8</f>
        <v>0</v>
      </c>
      <c r="D19" s="23" t="str">
        <f>IF([4]AnálisisRiesgo!B11&gt;0,5,IF([4]AnálisisRiesgo!C11&gt;0,4,IF([4]AnálisisRiesgo!D11&gt;0,3,IF([4]AnálisisRiesgo!E11&gt;0,2,IF([4]AnálisisRiesgo!F11&gt;0,1,"")))))</f>
        <v/>
      </c>
      <c r="E19" s="23" t="str">
        <f>IF([4]AnálisisRiesgo!G11&gt;0,5,IF([4]AnálisisRiesgo!H11&gt;0,4,IF([4]AnálisisRiesgo!I11&gt;0,3,IF([4]AnálisisRiesgo!J11&gt;0,2,IF([4]AnálisisRiesgo!K11&gt;0,1,IF([4]AnálisisRiesgo!L11&gt;0,20,IF([4]AnálisisRiesgo!M11&gt;0,10,IF([4]AnálisisRiesgo!N11&gt;0,5,""))))))))</f>
        <v/>
      </c>
      <c r="F19" s="23" t="str">
        <f t="shared" si="0"/>
        <v xml:space="preserve">     </v>
      </c>
      <c r="G19" s="24"/>
      <c r="H19" s="25"/>
      <c r="I19" s="26"/>
      <c r="J19" s="23" t="str">
        <f t="shared" si="1"/>
        <v xml:space="preserve">                              </v>
      </c>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IF(AND(H19&gt;0,[4]EvaluaciónRiesgoCorrup!$F$11&gt;75,D19=1,E19=5),$E$25,IF(AND(H19&gt;0,[4]EvaluaciónRiesgoCorrup!$F$11&gt;75,D19=1,E19=10),$F$25,IF(AND(H19&gt;0,[4]EvaluaciónRiesgoCorrup!$F$11&gt;75,D19=1,E19=20),$G$25," ")))</f>
        <v xml:space="preserve"> </v>
      </c>
      <c r="AA19" s="29" t="str">
        <f>IF(AND(H19&gt;0,[4]EvaluaciónRiesgoCorrup!$F$11&gt;75,D19=2,E19=5),$E$25,IF(AND(H19&gt;0,[4]EvaluaciónRiesgoCorrup!$F$11&gt;75,D19=2,E19=10),$F$25,IF(AND(H19&gt;0,[4]EvaluaciónRiesgoCorrup!$F$11&gt;75,D19=2,E19=20),$G$25," ")))</f>
        <v xml:space="preserve"> </v>
      </c>
      <c r="AB19" s="29" t="str">
        <f>IF(AND(H19&gt;0,[4]EvaluaciónRiesgoCorrup!$F$11&gt;75,D19=3,E19=5),$E$25,IF(AND(H19&gt;0,[4]EvaluaciónRiesgoCorrup!$F$11&gt;75,D19=3,E19=10),$F$25,IF(AND(H19&gt;0,[4]EvaluaciónRiesgoCorrup!$F$11&gt;75,D19=3,E19=20),$G$25," ")))</f>
        <v xml:space="preserve"> </v>
      </c>
      <c r="AC19" s="29" t="str">
        <f>IF(AND(H19&gt;0,[4]EvaluaciónRiesgoCorrup!$F$11&gt;75,D19=4,E19=5),$E$26,IF(AND(H19&gt;0,[4]EvaluaciónRiesgoCorrup!$F$11&gt;75,D19=4,E19=10),$F$26,IF(AND(H19&gt;0,[4]EvaluaciónRiesgoCorrup!$F$11&gt;75,D19=4,E19=20),$G$26," ")))</f>
        <v xml:space="preserve"> </v>
      </c>
      <c r="AD19" s="29" t="str">
        <f>IF(AND(H19&gt;0,[4]EvaluaciónRiesgoCorrup!$F$11&gt;75,D19=5,E19=5),$E$27,IF(AND(H19&gt;0,[4]EvaluaciónRiesgoCorrup!$F$11&gt;75,D19=5,E19=10),$F$27,IF(AND(H19&gt;0,[4]EvaluaciónRiesgoCorrup!$F$11&gt;75,D19=5,E19=20),$G$27," ")))</f>
        <v xml:space="preserve"> </v>
      </c>
      <c r="AF19" s="29" t="str">
        <f>IF(AND(H19&gt;0,[4]EvaluaciónRiesgoCorrup!$F$11&gt;50,[4]EvaluaciónRiesgoCorrup!$F$11&lt;76,D19=1,E19=5),$E$25,IF(AND(H19&gt;0,[4]EvaluaciónRiesgoCorrup!$F$11&gt;50,[4]EvaluaciónRiesgoCorrup!$F$11&lt;76,D19=1,E19=10),$F$25,IF(AND(H19&gt;0,[4]EvaluaciónRiesgoCorrup!$F$11&gt;50,[4]EvaluaciónRiesgoCorrup!$F$11&lt;76,D19=1,E19=20),$G$25," ")))</f>
        <v xml:space="preserve"> </v>
      </c>
      <c r="AG19" s="29" t="str">
        <f>IF(AND(H19&gt;0,[4]EvaluaciónRiesgoCorrup!$F$11&gt;50,[4]EvaluaciónRiesgoCorrup!$F$11&lt;76,D19=2,E19=5),$E$25,IF(AND(H19&gt;0,[4]EvaluaciónRiesgoCorrup!$F$11&gt;50,[4]EvaluaciónRiesgoCorrup!$F$11&lt;76,D19=2,E19=10),$F$25,IF(AND(H19&gt;0,[4]EvaluaciónRiesgoCorrup!$F$11&gt;50,[4]EvaluaciónRiesgoCorrup!$F$11&lt;76,D19=2,E19=20),$G$25," ")))</f>
        <v xml:space="preserve"> </v>
      </c>
      <c r="AH19" s="29" t="str">
        <f>IF(AND(H19&gt;0,[4]EvaluaciónRiesgoCorrup!$F$11&gt;50,[4]EvaluaciónRiesgoCorrup!$F$11&lt;76,D19=3,E19=5),$E$26,IF(AND(H19&gt;0,[4]EvaluaciónRiesgoCorrup!$F$11&gt;50,[4]EvaluaciónRiesgoCorrup!$F$11&lt;76,D19=3,E19=10),$F$26,IF(AND(H19&gt;0,[4]EvaluaciónRiesgoCorrup!$F$11&gt;50,[4]EvaluaciónRiesgoCorrup!$F$11&lt;76,D19=3,E19=20),$G$26," ")))</f>
        <v xml:space="preserve"> </v>
      </c>
      <c r="AI19" s="29" t="str">
        <f>IF(AND(H19&gt;0,[4]EvaluaciónRiesgoCorrup!$F$11&gt;50,[4]EvaluaciónRiesgoCorrup!$F$11&lt;76,D19=4,E19=5),$E$27,IF(AND(H19&gt;0,[4]EvaluaciónRiesgoCorrup!$F$11&gt;50,[4]EvaluaciónRiesgoCorrup!$F$11&lt;76,D19=4,E19=10),$F$27,IF(AND(H19&gt;0,[4]EvaluaciónRiesgoCorrup!$F$11&gt;50,[4]EvaluaciónRiesgoCorrup!$F$11&lt;76,D19=4,E19=20),$G$27," ")))</f>
        <v xml:space="preserve"> </v>
      </c>
      <c r="AJ19" s="29" t="str">
        <f>IF(AND(H19&gt;0,[4]EvaluaciónRiesgoCorrup!$F$11&gt;50,[4]EvaluaciónRiesgoCorrup!$F$11&lt;76,D19=5,E19=5),$E$28,IF(AND(H19&gt;0,[4]EvaluaciónRiesgoCorrup!$F$11&gt;50,[4]EvaluaciónRiesgoCorrup!$F$11&lt;76,D19=5,E19=10),$F$28,IF(AND(H19&gt;0,[4]EvaluaciónRiesgoCorrup!$F$11&gt;50,[4]EvaluaciónRiesgoCorrup!$F$11&lt;76,D19=5,E19=20),$G$28," ")))</f>
        <v xml:space="preserve"> </v>
      </c>
      <c r="AM19" s="29" t="str">
        <f>IF(AND(H19&gt;0,[4]EvaluaciónRiesgoCorrup!$F$11&lt;51,D19=1,E19=5),$E$25,IF(AND(H19&gt;0,[4]EvaluaciónRiesgoCorrup!$F$11&lt;51,D19=1,E19=10),$F$25,IF(AND(H19&gt;0,[4]EvaluaciónRiesgoCorrup!$F$11&lt;51,D19=1,E19=20),G$25," ")))</f>
        <v xml:space="preserve"> </v>
      </c>
      <c r="AN19" s="29" t="str">
        <f>IF(AND(H19&gt;0,[4]EvaluaciónRiesgoCorrup!$F$11&lt;51,D19=2,E19=5),$E$26,IF(AND(H19&gt;0,[4]EvaluaciónRiesgoCorrup!$F$11&lt;51,D19=2,E19=10),$F$26,IF(AND(H19&gt;0,[4]EvaluaciónRiesgoCorrup!$F$11&lt;51,D19=2,E19=20),G$26," ")))</f>
        <v xml:space="preserve"> </v>
      </c>
      <c r="AO19" s="29" t="str">
        <f>IF(AND(H19&gt;0,[4]EvaluaciónRiesgoCorrup!$F$11&lt;51,D19=3,E19=5),$E$27,IF(AND(H19&gt;0,[4]EvaluaciónRiesgoCorrup!$F$11&lt;51,D19=3,E19=10),$F$27,IF(AND(H19&gt;0,[4]EvaluaciónRiesgoCorrup!$F$11&lt;51,D19=3,E19=20),G$27," ")))</f>
        <v xml:space="preserve"> </v>
      </c>
      <c r="AP19" s="29" t="str">
        <f>IF(AND(H19&gt;0,[4]EvaluaciónRiesgoCorrup!$F$11&lt;51,D19=4,E19=5),$E$28,IF(AND(H19&gt;0,[4]EvaluaciónRiesgoCorrup!$F$11&lt;51,D19=4,E19=10),$F$28,IF(AND(H19&gt;0,[4]EvaluaciónRiesgoCorrup!$F$11&lt;51,D19=4,E19=20),G$28," ")))</f>
        <v xml:space="preserve"> </v>
      </c>
      <c r="AQ19" s="29" t="str">
        <f>IF(AND(H19&gt;0,[4]EvaluaciónRiesgoCorrup!$F$11&lt;51,D19=5,E19=5),$E$29,IF(AND(H19&gt;0,[4]EvaluaciónRiesgoCorrup!$F$11&lt;51,D19=5,E19=10),$F$29,IF(AND(H19&gt;0,[4]EvaluaciónRiesgoCorrup!$F$11&lt;51,D19=5,E19=20),G$29," ")))</f>
        <v xml:space="preserve"> </v>
      </c>
      <c r="AU19" s="29" t="str">
        <f>IF(AND(I19&gt;0,[4]EvaluaciónRiesgoCorrup!$F$11&gt;75,D19=1,E19=5),$E$25,IF(AND(I19&gt;0,[4]EvaluaciónRiesgoCorrup!$F$11&gt;75,D19=1,E19=10),$E$25,IF(AND(I19&gt;0,[4]EvaluaciónRiesgoCorrup!$F$11&gt;75,D19=1,E19=20),$E$25," ")))</f>
        <v xml:space="preserve"> </v>
      </c>
      <c r="AV19" s="29" t="str">
        <f>IF(AND(I19&gt;0,[4]EvaluaciónRiesgoCorrup!$F$11&gt;75,D19=2,E19=5),$E$26,IF(AND(I19&gt;0,[4]EvaluaciónRiesgoCorrup!$F$11&gt;75,D19=2,E19=10),$E$26,IF(AND(I19&gt;0,[4]EvaluaciónRiesgoCorrup!$F$11&gt;75,D19=2,E19=20),$E$26," ")))</f>
        <v xml:space="preserve"> </v>
      </c>
      <c r="AW19" s="29" t="str">
        <f>IF(AND(I19&gt;0,[4]EvaluaciónRiesgoCorrup!$F$11&gt;75,D19=3,E19=5),$E$27,IF(AND(I19&gt;0,[4]EvaluaciónRiesgoCorrup!$F$11&gt;75,D19=3,E19=10),$E$27,IF(AND(I19&gt;0,[4]EvaluaciónRiesgoCorrup!$F$11&gt;75,D19=3,E19=20),$E$27," ")))</f>
        <v xml:space="preserve"> </v>
      </c>
      <c r="AX19" s="29" t="str">
        <f>IF(AND(I19&gt;0,[4]EvaluaciónRiesgoCorrup!$F$11&gt;75,D19=4,E19=5),$E$28,IF(AND(I19&gt;0,[4]EvaluaciónRiesgoCorrup!$F$11&gt;75,D19=4,E19=10),$E$28,IF(AND(I19&gt;0,[4]EvaluaciónRiesgoCorrup!$F$11&gt;75,D19=4,E19=20),$E$28," ")))</f>
        <v xml:space="preserve"> </v>
      </c>
      <c r="AY19" s="29" t="str">
        <f>IF(AND(I19&gt;0,[4]EvaluaciónRiesgoCorrup!$F$11&gt;75,D19=5,E19=5),$E$29,IF(AND(I19&gt;0,[4]EvaluaciónRiesgoCorrup!$F$11&gt;75,D19=5,E19=10),$E$29,IF(AND(I19&gt;0,[4]EvaluaciónRiesgoCorrup!$F$11&gt;75,D19=5,E19=20),$E$29," ")))</f>
        <v xml:space="preserve"> </v>
      </c>
      <c r="BB19" s="29" t="str">
        <f>IF(AND(I19&gt;0,[4]EvaluaciónRiesgoCorrup!$F$11&gt;50,[4]EvaluaciónRiesgoCorrup!$F$11&lt;76,D19=1,E19=5),$E$25,IF(AND(I19&gt;0,[4]EvaluaciónRiesgoCorrup!$F$11&gt;50,[4]EvaluaciónRiesgoCorrup!$F$11&lt;76,D19=1,E19=10),$E$25,IF(AND(I19&gt;0,[4]EvaluaciónRiesgoCorrup!$F$11&gt;50,[4]EvaluaciónRiesgoCorrup!$F$11&lt;76,D19=1,E19=20),$F$25," ")))</f>
        <v xml:space="preserve"> </v>
      </c>
      <c r="BC19" s="29" t="str">
        <f>IF(AND(I19&gt;0,[4]EvaluaciónRiesgoCorrup!$F$11&gt;50,[4]EvaluaciónRiesgoCorrup!$F$11&lt;76,D19=2,E19=5),$E$26,IF(AND(I19&gt;0,[4]EvaluaciónRiesgoCorrup!$F$11&gt;50,[4]EvaluaciónRiesgoCorrup!$F$11&lt;76,D19=2,E19=10),$E$26,IF(AND(I19&gt;0,[4]EvaluaciónRiesgoCorrup!$F$11&gt;50,[4]EvaluaciónRiesgoCorrup!$F$11&lt;76,D19=2,E19=20),$F$26," ")))</f>
        <v xml:space="preserve"> </v>
      </c>
      <c r="BD19" s="29" t="str">
        <f>IF(AND(I19&gt;0,[4]EvaluaciónRiesgoCorrup!$F$11&gt;50,[4]EvaluaciónRiesgoCorrup!$F$11&lt;76,D19=3,E19=5),$E$27,IF(AND(I19&gt;0,[4]EvaluaciónRiesgoCorrup!$F$11&gt;50,[4]EvaluaciónRiesgoCorrup!$F$11&lt;76,D19=3,E19=10),$E$27,IF(AND(I19&gt;0,[4]EvaluaciónRiesgoCorrup!$F$11&gt;50,[4]EvaluaciónRiesgoCorrup!$F$11&lt;76,D19=3,E19=20),$F$27," ")))</f>
        <v xml:space="preserve"> </v>
      </c>
      <c r="BE19" s="29" t="str">
        <f>IF(AND(I19&gt;0,[4]EvaluaciónRiesgoCorrup!$F$11&gt;50,[4]EvaluaciónRiesgoCorrup!$F$11&lt;76,D19=4,E19=5),$E$28,IF(AND(I19&gt;0,[4]EvaluaciónRiesgoCorrup!$F$11&gt;50,[4]EvaluaciónRiesgoCorrup!$F$11&lt;76,D19=4,E19=10),$E$28,IF(AND(I19&gt;0,[4]EvaluaciónRiesgoCorrup!$F$11&gt;50,[4]EvaluaciónRiesgoCorrup!$F$11&lt;76,D19=4,E19=20),$F$28," ")))</f>
        <v xml:space="preserve"> </v>
      </c>
      <c r="BF19" s="29" t="str">
        <f>IF(AND(I19&gt;0,[4]EvaluaciónRiesgoCorrup!$F$11&gt;50,[4]EvaluaciónRiesgoCorrup!$F$11&lt;76,D19=5,E19=5),$E$29,IF(AND(I19&gt;0,[4]EvaluaciónRiesgoCorrup!$F$11&gt;50,[4]EvaluaciónRiesgoCorrup!$F$11&lt;76,D19=5,E19=10),$E$29,IF(AND(I19&gt;0,[4]EvaluaciónRiesgoCorrup!$F$11&gt;50,[4]EvaluaciónRiesgoCorrup!$F$11&lt;76,D19=5,E19=20),$F$29," ")))</f>
        <v xml:space="preserve"> </v>
      </c>
      <c r="BI19" s="29" t="str">
        <f>IF(AND(I19&gt;0,[4]EvaluaciónRiesgoCorrup!$F$11&lt;51,D19=1,E19=5),$E$25,IF(AND(I19&gt;0,[4]EvaluaciónRiesgoCorrup!$F$11&lt;51,D19=1,E19=10),$F$25,IF(AND(I19&gt;0,[4]EvaluaciónRiesgoCorrup!$F$11&lt;51,D19=1,E19=20),$G$25," ")))</f>
        <v xml:space="preserve"> </v>
      </c>
      <c r="BJ19" s="29" t="str">
        <f>IF(AND(I19&gt;0,[4]EvaluaciónRiesgoCorrup!$F$11&lt;51,D19=2,E19=5),$E$26,IF(AND(I19&gt;0,[4]EvaluaciónRiesgoCorrup!$F$11&lt;51,D19=2,E19=10),$F$26,IF(AND(I19&gt;0,[4]EvaluaciónRiesgoCorrup!$F$11&lt;51,D19=2,E19=20),$G$26," ")))</f>
        <v xml:space="preserve"> </v>
      </c>
      <c r="BK19" s="29" t="str">
        <f>IF(AND(I19&gt;0,[4]EvaluaciónRiesgoCorrup!$F$11&lt;51,D19=3,E19=5),$E$27,IF(AND(I19&gt;0,[4]EvaluaciónRiesgoCorrup!$F$11&lt;51,D19=3,E19=10),$F$27,IF(AND(I19&gt;0,[4]EvaluaciónRiesgoCorrup!$F$11&lt;51,D19=3,E19=20),$G$27," ")))</f>
        <v xml:space="preserve"> </v>
      </c>
      <c r="BL19" s="29" t="str">
        <f>IF(AND(I19&gt;0,[4]EvaluaciónRiesgoCorrup!$F$11&lt;51,D19=4,E19=5),$E$28,IF(AND(I19&gt;0,[4]EvaluaciónRiesgoCorrup!$F$11&lt;51,D19=4,E19=10),$F$28,IF(AND(I19&gt;0,[4]EvaluaciónRiesgoCorrup!$F$11&lt;51,D19=4,E19=20),$G$28," ")))</f>
        <v xml:space="preserve"> </v>
      </c>
      <c r="BM19" s="29" t="str">
        <f>IF(AND(I19&gt;0,[4]EvaluaciónRiesgoCorrup!$F$11&lt;51,D19=5,E19=5),$E$29,IF(AND(I19&gt;0,[4]EvaluaciónRiesgoCorrup!$F$11&lt;51,D19=5,E19=10),$F$29,IF(AND(I19&gt;0,[4]EvaluaciónRiesgoCorrup!$F$11&lt;51,D19=5,E19=20),$G$29," ")))</f>
        <v xml:space="preserve"> </v>
      </c>
    </row>
    <row r="20" spans="1:65" ht="13.9" x14ac:dyDescent="0.3">
      <c r="A20" s="60"/>
      <c r="B20" s="22"/>
      <c r="C20" s="22"/>
    </row>
    <row r="21" spans="1:65" ht="13.9" x14ac:dyDescent="0.3">
      <c r="A21" s="29"/>
      <c r="B21" s="31"/>
      <c r="C21" s="31"/>
    </row>
    <row r="22" spans="1:65" ht="15" thickBot="1" x14ac:dyDescent="0.3">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O15:O16"/>
    <mergeCell ref="P15:P16"/>
    <mergeCell ref="Q15:Q16"/>
    <mergeCell ref="D23:D24"/>
    <mergeCell ref="E23:G23"/>
    <mergeCell ref="K15:M15"/>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A6:C6"/>
    <mergeCell ref="D6:Q6"/>
    <mergeCell ref="A8:C8"/>
    <mergeCell ref="D8:Q8"/>
    <mergeCell ref="A10:C10"/>
    <mergeCell ref="D10:Q10"/>
    <mergeCell ref="A1:C4"/>
    <mergeCell ref="D1:O4"/>
    <mergeCell ref="P1:Q1"/>
    <mergeCell ref="P2:Q2"/>
    <mergeCell ref="P3:Q3"/>
    <mergeCell ref="P4:Q4"/>
  </mergeCells>
  <conditionalFormatting sqref="F17:F19 J17:J19">
    <cfRule type="containsText" dxfId="51" priority="1" operator="containsText" text="E">
      <formula>NOT(ISERROR(SEARCH("E",F17)))</formula>
    </cfRule>
    <cfRule type="containsText" dxfId="50" priority="2" operator="containsText" text="M">
      <formula>NOT(ISERROR(SEARCH("M",F17)))</formula>
    </cfRule>
    <cfRule type="containsText" dxfId="49" priority="3" operator="containsText" text="A">
      <formula>NOT(ISERROR(SEARCH("A",F17)))</formula>
    </cfRule>
    <cfRule type="containsText" dxfId="48"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view="pageBreakPreview" zoomScale="30" zoomScaleNormal="70" zoomScaleSheetLayoutView="30" workbookViewId="0">
      <selection activeCell="D12" sqref="D12:Q12"/>
    </sheetView>
  </sheetViews>
  <sheetFormatPr baseColWidth="10" defaultColWidth="11.42578125" defaultRowHeight="14.25" x14ac:dyDescent="0.25"/>
  <cols>
    <col min="1" max="1" width="56.57031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21.7109375" style="2" customWidth="1"/>
    <col min="11" max="12" width="19.85546875" style="2" customWidth="1"/>
    <col min="13" max="13" width="17"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[5]IdentRiesgo!B2</f>
        <v>Servicios (Laboratorio, Acreditación de laboratorios, Aeronáutica, Pronosticos, Redes).</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[5]IdentRiesgo!B3</f>
        <v>Satisfacer las necesidades y expectativas de los usuarios y dar respuesta pertinente, confiable y oportuna de los servicios relacionados con las actividades misionales del Instituto.</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119</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63"/>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63" t="s">
        <v>28</v>
      </c>
      <c r="E16" s="63" t="s">
        <v>12</v>
      </c>
      <c r="F16" s="63" t="s">
        <v>29</v>
      </c>
      <c r="G16" s="107"/>
      <c r="H16" s="19" t="s">
        <v>28</v>
      </c>
      <c r="I16" s="19" t="s">
        <v>12</v>
      </c>
      <c r="J16" s="64" t="s">
        <v>29</v>
      </c>
      <c r="K16" s="63" t="s">
        <v>30</v>
      </c>
      <c r="L16" s="63" t="s">
        <v>26</v>
      </c>
      <c r="M16" s="63" t="s">
        <v>31</v>
      </c>
      <c r="N16" s="110"/>
      <c r="O16" s="110"/>
      <c r="P16" s="110"/>
      <c r="Q16" s="110"/>
    </row>
    <row r="17" spans="1:65" ht="211.5" customHeight="1" x14ac:dyDescent="0.25">
      <c r="A17" s="22" t="str">
        <f>[5]IdentRiesgo!A6</f>
        <v xml:space="preserve">* Incumplimiento de procedimientos y resoluciones internas del proceso de acreditación (176 de 2003, 0166 de 2006, 1754 de 2009 y 268 de 2015), que generen demora y posible vencimiento en las acreditaciones de los laboratorios.
* Incumplimiento de procedimientos y resoluciones internas del proceso de autorización (2509 del 2010), que genere 
* Falta de estimulos profesionales y meritorios al interior del grupo de trabajo.
* Problemas económicos financieros.
* Deseo de éxito sobrepasando los límites profesionales y éticos. </v>
      </c>
      <c r="B17" s="22" t="str">
        <f>[5]IdentRiesgo!B6</f>
        <v>Decisiones ajustadas a intereses particulares</v>
      </c>
      <c r="C17" s="22" t="str">
        <f>[5]IdentRiesgo!D6</f>
        <v xml:space="preserve">*Inequidad en el proceso de acreditación y autorización de los laboratorios u organizaciones.
* Demanda por favoreciemiento particular a un laboratorio u organizaciones.
*Mala imagen Institucional.
*Pérdida de credibilidad del proceso de acredirtación y autorización. </v>
      </c>
      <c r="D17" s="23">
        <f>IF([5]AnálisisRiesgo!B9&gt;0,5,IF([5]AnálisisRiesgo!C9&gt;0,4,IF([5]AnálisisRiesgo!D9&gt;0,3,IF([5]AnálisisRiesgo!E9&gt;0,2,IF([5]AnálisisRiesgo!F9&gt;0,1,"")))))</f>
        <v>1</v>
      </c>
      <c r="E17" s="23">
        <f>IF([5]AnálisisRiesgo!G9&gt;0,5,IF([5]AnálisisRiesgo!H9&gt;0,4,IF([5]AnálisisRiesgo!I9&gt;0,3,IF([5]AnálisisRiesgo!J9&gt;0,2,IF([5]AnálisisRiesgo!K9&gt;0,1,IF([5]AnálisisRiesgo!L9&gt;0,20,IF([5]AnálisisRiesgo!M9&gt;0,10,IF([5]AnálisisRiesgo!N9&gt;0,5,""))))))))</f>
        <v>20</v>
      </c>
      <c r="F17" s="23" t="str">
        <f>CONCATENATE(S17,T17,U17,V17,W17)</f>
        <v xml:space="preserve">M    </v>
      </c>
      <c r="G17" s="23" t="s">
        <v>124</v>
      </c>
      <c r="H17" s="25"/>
      <c r="I17" s="26" t="s">
        <v>32</v>
      </c>
      <c r="J17" s="23" t="str">
        <f>CONCATENATE(Z17,AA17,AB17,AC17,AD17,AF17,AG17,AH17,AI17,AJ17,AM17,AN17,AO17,AP17,AQ17,AU17,AV17,AW17,AX17,AY17,BB17,BC17,BD17,BE17,BF17,BI17,BJ17,BK17,BL17,BM17)</f>
        <v xml:space="preserve">               B              </v>
      </c>
      <c r="K17" s="23" t="s">
        <v>125</v>
      </c>
      <c r="L17" s="23" t="s">
        <v>126</v>
      </c>
      <c r="M17" s="23" t="s">
        <v>127</v>
      </c>
      <c r="N17" s="27"/>
      <c r="O17" s="27"/>
      <c r="P17" s="27"/>
      <c r="Q17" s="29"/>
      <c r="S17" s="29" t="str">
        <f>IF(AND(D17=1,E17=5),$E$25,IF(AND(D17=1,E17=10),$F$25,IF(AND(D17=1,E17=20),$G$25," ")))</f>
        <v>M</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IF(AND(H17&gt;0,[5]EvaluaciónRiesgoCorrup!$F$11&gt;75,D17=1,E17=5),$E$25,IF(AND(H17&gt;0,[5]EvaluaciónRiesgoCorrup!$F$11&gt;75,D17=1,E17=10),$F$25,IF(AND(H17&gt;0,[5]EvaluaciónRiesgoCorrup!$F$11&gt;75,D17=1,E17=20),$G$25," ")))</f>
        <v xml:space="preserve"> </v>
      </c>
      <c r="AA17" s="29" t="str">
        <f>IF(AND(H17&gt;0,[5]EvaluaciónRiesgoCorrup!$F$11&gt;75,D17=2,E17=5),$E$25,IF(AND(H17&gt;0,[5]EvaluaciónRiesgoCorrup!$F$11&gt;75,D17=2,E17=10),$F$25,IF(AND(H17&gt;0,[5]EvaluaciónRiesgoCorrup!$F$11&gt;75,D17=2,E17=20),$G$25," ")))</f>
        <v xml:space="preserve"> </v>
      </c>
      <c r="AB17" s="29" t="str">
        <f>IF(AND(H17&gt;0,[5]EvaluaciónRiesgoCorrup!$F$11&gt;75,D17=3,E17=5),$E$25,IF(AND(H17&gt;0,[5]EvaluaciónRiesgoCorrup!$F$11&gt;75,D17=3,E17=10),$F$25,IF(AND(H17&gt;0,[5]EvaluaciónRiesgoCorrup!$F$11&gt;75,D17=3,E17=20),$G$25," ")))</f>
        <v xml:space="preserve"> </v>
      </c>
      <c r="AC17" s="29" t="str">
        <f>IF(AND(H17&gt;0,[5]EvaluaciónRiesgoCorrup!$F$11&gt;75,D17=4,E17=5),$E$26,IF(AND(H17&gt;0,[5]EvaluaciónRiesgoCorrup!$F$11&gt;75,D17=4,E17=10),$F$26,IF(AND(H17&gt;0,[5]EvaluaciónRiesgoCorrup!$F$11&gt;75,D17=4,E17=20),$G$26," ")))</f>
        <v xml:space="preserve"> </v>
      </c>
      <c r="AD17" s="29" t="str">
        <f>IF(AND(H17&gt;0,[5]EvaluaciónRiesgoCorrup!$F$11&gt;75,D17=5,E17=5),$E$27,IF(AND(H17&gt;0,[5]EvaluaciónRiesgoCorrup!$F$11&gt;75,D17=5,E17=10),$F$27,IF(AND(H17&gt;0,[5]EvaluaciónRiesgoCorrup!$F$11&gt;75,D17=5,E17=20),$G$27," ")))</f>
        <v xml:space="preserve"> </v>
      </c>
      <c r="AE17" s="30" t="s">
        <v>36</v>
      </c>
      <c r="AF17" s="29" t="str">
        <f>IF(AND(H17&gt;0,[5]EvaluaciónRiesgoCorrup!$F$11&gt;50,[5]EvaluaciónRiesgoCorrup!$F$11&lt;76,D17=1,E17=5),$E$25,IF(AND(H17&gt;0,[5]EvaluaciónRiesgoCorrup!$F$11&gt;50,[5]EvaluaciónRiesgoCorrup!$F$11&lt;76,D17=1,E17=10),$F$25,IF(AND(H17&gt;0,[5]EvaluaciónRiesgoCorrup!$F$11&gt;50,[5]EvaluaciónRiesgoCorrup!$F$11&lt;76,D17=1,E17=20),$G$25," ")))</f>
        <v xml:space="preserve"> </v>
      </c>
      <c r="AG17" s="29" t="str">
        <f>IF(AND(H17&gt;0,[5]EvaluaciónRiesgoCorrup!$F$11&gt;50,[5]EvaluaciónRiesgoCorrup!$F$11&lt;76,D17=2,E17=5),$E$25,IF(AND(H17&gt;0,[5]EvaluaciónRiesgoCorrup!$F$11&gt;50,[5]EvaluaciónRiesgoCorrup!$F$11&lt;76,D17=2,E17=10),$F$25,IF(AND(H17&gt;0,[5]EvaluaciónRiesgoCorrup!$F$11&gt;50,[5]EvaluaciónRiesgoCorrup!$F$11&lt;76,D17=2,E17=20),$G$25," ")))</f>
        <v xml:space="preserve"> </v>
      </c>
      <c r="AH17" s="29" t="str">
        <f>IF(AND(H17&gt;0,[5]EvaluaciónRiesgoCorrup!$F$11&gt;50,[5]EvaluaciónRiesgoCorrup!$F$11&lt;76,D17=3,E17=5),$E$26,IF(AND(H17&gt;0,[5]EvaluaciónRiesgoCorrup!$F$11&gt;50,[5]EvaluaciónRiesgoCorrup!$F$11&lt;76,D17=3,E17=10),$F$26,IF(AND(H17&gt;0,[5]EvaluaciónRiesgoCorrup!$F$11&gt;50,[5]EvaluaciónRiesgoCorrup!$F$11&lt;76,D17=3,E17=20),$G$26," ")))</f>
        <v xml:space="preserve"> </v>
      </c>
      <c r="AI17" s="29" t="str">
        <f>IF(AND(H17&gt;0,[5]EvaluaciónRiesgoCorrup!$F$11&gt;50,[5]EvaluaciónRiesgoCorrup!$F$11&lt;76,D17=4,E17=5),$E$27,IF(AND(H17&gt;0,[5]EvaluaciónRiesgoCorrup!$F$11&gt;50,[5]EvaluaciónRiesgoCorrup!$F$11&lt;76,D17=4,E17=10),$F$27,IF(AND(H17&gt;0,[5]EvaluaciónRiesgoCorrup!$F$11&gt;50,[5]EvaluaciónRiesgoCorrup!$F$11&lt;76,D17=4,E17=20),$G$27," ")))</f>
        <v xml:space="preserve"> </v>
      </c>
      <c r="AJ17" s="29" t="str">
        <f>IF(AND(H17&gt;0,[5]EvaluaciónRiesgoCorrup!$F$11&gt;50,[5]EvaluaciónRiesgoCorrup!$F$11&lt;76,D17=5,E17=5),$E$28,IF(AND(H17&gt;0,[5]EvaluaciónRiesgoCorrup!$F$11&gt;50,[5]EvaluaciónRiesgoCorrup!$F$11&lt;76,D17=5,E17=10),$F$28,IF(AND(H17&gt;0,[5]EvaluaciónRiesgoCorrup!$F$11&gt;50,[5]EvaluaciónRiesgoCorrup!$F$11&lt;76,D17=5,E17=20),$G$28," ")))</f>
        <v xml:space="preserve"> </v>
      </c>
      <c r="AL17" s="30" t="s">
        <v>37</v>
      </c>
      <c r="AM17" s="29" t="str">
        <f>IF(AND(H17&gt;0,[5]EvaluaciónRiesgoCorrup!$F$11&lt;51,D17=1,E17=5),$E$25,IF(AND(H17&gt;0,[5]EvaluaciónRiesgoCorrup!$F$11&lt;51,D17=1,E17=10),$F$25,IF(AND(H17&gt;0,[5]EvaluaciónRiesgoCorrup!$F$11&lt;51,D17=1,E17=20),G$25," ")))</f>
        <v xml:space="preserve"> </v>
      </c>
      <c r="AN17" s="29" t="str">
        <f>IF(AND(H17&gt;0,[5]EvaluaciónRiesgoCorrup!$F$11&lt;51,D17=2,E17=5),$E$26,IF(AND(H17&gt;0,[5]EvaluaciónRiesgoCorrup!$F$11&lt;51,D17=2,E17=10),$F$26,IF(AND(H17&gt;0,[5]EvaluaciónRiesgoCorrup!$F$11&lt;51,D17=2,E17=20),G$26," ")))</f>
        <v xml:space="preserve"> </v>
      </c>
      <c r="AO17" s="29" t="str">
        <f>IF(AND(H17&gt;0,[5]EvaluaciónRiesgoCorrup!$F$11&lt;51,D17=3,E17=5),$E$27,IF(AND(H17&gt;0,[5]EvaluaciónRiesgoCorrup!$F$11&lt;51,D17=3,E17=10),$F$27,IF(AND(H17&gt;0,[5]EvaluaciónRiesgoCorrup!$F$11&lt;51,D17=3,E17=20),G$27," ")))</f>
        <v xml:space="preserve"> </v>
      </c>
      <c r="AP17" s="29" t="str">
        <f>IF(AND(H17&gt;0,[5]EvaluaciónRiesgoCorrup!$F$11&lt;51,D17=4,E17=5),$E$28,IF(AND(H17&gt;0,[5]EvaluaciónRiesgoCorrup!$F$11&lt;51,D17=4,E17=10),$F$28,IF(AND(H17&gt;0,[5]EvaluaciónRiesgoCorrup!$F$11&lt;51,D17=4,E17=20),G$28," ")))</f>
        <v xml:space="preserve"> </v>
      </c>
      <c r="AQ17" s="29" t="str">
        <f>IF(AND(H17&gt;0,[5]EvaluaciónRiesgoCorrup!$F$11&lt;51,D17=5,E17=5),$E$29,IF(AND(H17&gt;0,[5]EvaluaciónRiesgoCorrup!$F$11&lt;51,D17=5,E17=10),$F$29,IF(AND(H17&gt;0,[5]EvaluaciónRiesgoCorrup!$F$11&lt;51,D17=5,E17=20),G$29," ")))</f>
        <v xml:space="preserve"> </v>
      </c>
      <c r="AT17" s="30" t="s">
        <v>35</v>
      </c>
      <c r="AU17" s="29" t="str">
        <f>IF(AND(I17&gt;0,[5]EvaluaciónRiesgoCorrup!$F$11&gt;75,D17=1,E17=5),$E$25,IF(AND(I17&gt;0,[5]EvaluaciónRiesgoCorrup!$F$11&gt;75,D17=1,E17=10),$E$25,IF(AND(I17&gt;0,[5]EvaluaciónRiesgoCorrup!$F$11&gt;75,D17=1,E17=20),$E$25," ")))</f>
        <v>B</v>
      </c>
      <c r="AV17" s="29" t="str">
        <f>IF(AND(I17&gt;0,[5]EvaluaciónRiesgoCorrup!$F$11&gt;75,D17=2,E17=5),$E$26,IF(AND(I17&gt;0,[5]EvaluaciónRiesgoCorrup!$F$11&gt;75,D17=2,E17=10),$E$26,IF(AND(I17&gt;0,[5]EvaluaciónRiesgoCorrup!$F$11&gt;75,D17=2,E17=20),$E$26," ")))</f>
        <v xml:space="preserve"> </v>
      </c>
      <c r="AW17" s="29" t="str">
        <f>IF(AND(I17&gt;0,[5]EvaluaciónRiesgoCorrup!$F$11&gt;75,D17=3,E17=5),$E$27,IF(AND(I17&gt;0,[5]EvaluaciónRiesgoCorrup!$F$11&gt;75,D17=3,E17=10),$E$27,IF(AND(I17&gt;0,[5]EvaluaciónRiesgoCorrup!$F$11&gt;75,D17=3,E17=20),$E$27," ")))</f>
        <v xml:space="preserve"> </v>
      </c>
      <c r="AX17" s="29" t="str">
        <f>IF(AND(I17&gt;0,[5]EvaluaciónRiesgoCorrup!$F$11&gt;75,D17=4,E17=5),$E$28,IF(AND(I17&gt;0,[5]EvaluaciónRiesgoCorrup!$F$11&gt;75,D17=4,E17=10),$E$28,IF(AND(I17&gt;0,[5]EvaluaciónRiesgoCorrup!$F$11&gt;75,D17=4,E17=20),$E$28," ")))</f>
        <v xml:space="preserve"> </v>
      </c>
      <c r="AY17" s="29" t="str">
        <f>IF(AND(I17&gt;0,[5]EvaluaciónRiesgoCorrup!$F$11&gt;75,D17=5,E17=5),$E$29,IF(AND(I17&gt;0,[5]EvaluaciónRiesgoCorrup!$F$11&gt;75,D17=5,E17=10),$E$29,IF(AND(I17&gt;0,[5]EvaluaciónRiesgoCorrup!$F$11&gt;75,D17=5,E17=20),$E$29," ")))</f>
        <v xml:space="preserve"> </v>
      </c>
      <c r="BA17" s="30" t="s">
        <v>36</v>
      </c>
      <c r="BB17" s="29" t="str">
        <f>IF(AND(I17&gt;0,[5]EvaluaciónRiesgoCorrup!$F$11&gt;50,[5]EvaluaciónRiesgoCorrup!$F$11&lt;76,D17=1,E17=5),$E$25,IF(AND(I17&gt;0,[5]EvaluaciónRiesgoCorrup!$F$11&gt;50,[5]EvaluaciónRiesgoCorrup!$F$11&lt;76,D17=1,E17=10),$E$25,IF(AND(I17&gt;0,[5]EvaluaciónRiesgoCorrup!$F$11&gt;50,[5]EvaluaciónRiesgoCorrup!$F$11&lt;76,D17=1,E17=20),$F$25," ")))</f>
        <v xml:space="preserve"> </v>
      </c>
      <c r="BC17" s="29" t="str">
        <f>IF(AND(I17&gt;0,[5]EvaluaciónRiesgoCorrup!$F$11&gt;50,[5]EvaluaciónRiesgoCorrup!$F$11&lt;76,D17=2,E17=5),$E$26,IF(AND(I17&gt;0,[5]EvaluaciónRiesgoCorrup!$F$11&gt;50,[5]EvaluaciónRiesgoCorrup!$F$11&lt;76,D17=2,E17=10),$E$26,IF(AND(I17&gt;0,[5]EvaluaciónRiesgoCorrup!$F$11&gt;50,[5]EvaluaciónRiesgoCorrup!$F$11&lt;76,D17=2,E17=20),$F$26," ")))</f>
        <v xml:space="preserve"> </v>
      </c>
      <c r="BD17" s="29" t="str">
        <f>IF(AND(I17&gt;0,[5]EvaluaciónRiesgoCorrup!$F$11&gt;50,[5]EvaluaciónRiesgoCorrup!$F$11&lt;76,D17=3,E17=5),$E$27,IF(AND(I17&gt;0,[5]EvaluaciónRiesgoCorrup!$F$11&gt;50,[5]EvaluaciónRiesgoCorrup!$F$11&lt;76,D17=3,E17=10),$E$27,IF(AND(I17&gt;0,[5]EvaluaciónRiesgoCorrup!$F$11&gt;50,[5]EvaluaciónRiesgoCorrup!$F$11&lt;76,D17=3,E17=20),$F$27," ")))</f>
        <v xml:space="preserve"> </v>
      </c>
      <c r="BE17" s="29" t="str">
        <f>IF(AND(I17&gt;0,[5]EvaluaciónRiesgoCorrup!$F$11&gt;50,[5]EvaluaciónRiesgoCorrup!$F$11&lt;76,D17=4,E17=5),$E$28,IF(AND(I17&gt;0,[5]EvaluaciónRiesgoCorrup!$F$11&gt;50,[5]EvaluaciónRiesgoCorrup!$F$11&lt;76,D17=4,E17=10),$E$28,IF(AND(I17&gt;0,[5]EvaluaciónRiesgoCorrup!$F$11&gt;50,[5]EvaluaciónRiesgoCorrup!$F$11&lt;76,D17=4,E17=20),$F$28," ")))</f>
        <v xml:space="preserve"> </v>
      </c>
      <c r="BF17" s="29" t="str">
        <f>IF(AND(I17&gt;0,[5]EvaluaciónRiesgoCorrup!$F$11&gt;50,[5]EvaluaciónRiesgoCorrup!$F$11&lt;76,D17=5,E17=5),$E$29,IF(AND(I17&gt;0,[5]EvaluaciónRiesgoCorrup!$F$11&gt;50,[5]EvaluaciónRiesgoCorrup!$F$11&lt;76,D17=5,E17=10),$E$29,IF(AND(I17&gt;0,[5]EvaluaciónRiesgoCorrup!$F$11&gt;50,[5]EvaluaciónRiesgoCorrup!$F$11&lt;76,D17=5,E17=20),$F$29," ")))</f>
        <v xml:space="preserve"> </v>
      </c>
      <c r="BH17" s="30" t="s">
        <v>37</v>
      </c>
      <c r="BI17" s="29" t="str">
        <f>IF(AND(I17&gt;0,[5]EvaluaciónRiesgoCorrup!$F$11&lt;51,D17=1,E17=5),$E$25,IF(AND(I17&gt;0,[5]EvaluaciónRiesgoCorrup!$F$11&lt;51,D17=1,E17=10),$F$25,IF(AND(I17&gt;0,[5]EvaluaciónRiesgoCorrup!$F$11&lt;51,D17=1,E17=20),$G$25," ")))</f>
        <v xml:space="preserve"> </v>
      </c>
      <c r="BJ17" s="29" t="str">
        <f>IF(AND(I17&gt;0,[5]EvaluaciónRiesgoCorrup!$F$11&lt;51,D17=2,E17=5),$E$26,IF(AND(I17&gt;0,[5]EvaluaciónRiesgoCorrup!$F$11&lt;51,D17=2,E17=10),$F$26,IF(AND(I17&gt;0,[5]EvaluaciónRiesgoCorrup!$F$11&lt;51,D17=2,E17=20),$G$26," ")))</f>
        <v xml:space="preserve"> </v>
      </c>
      <c r="BK17" s="29" t="str">
        <f>IF(AND(I17&gt;0,[5]EvaluaciónRiesgoCorrup!$F$11&lt;51,D17=3,E17=5),$E$27,IF(AND(I17&gt;0,[5]EvaluaciónRiesgoCorrup!$F$11&lt;51,D17=3,E17=10),$F$27,IF(AND(I17&gt;0,[5]EvaluaciónRiesgoCorrup!$F$11&lt;51,D17=3,E17=20),$G$27," ")))</f>
        <v xml:space="preserve"> </v>
      </c>
      <c r="BL17" s="29" t="str">
        <f>IF(AND(I17&gt;0,[5]EvaluaciónRiesgoCorrup!$F$11&lt;51,D17=4,E17=5),$E$28,IF(AND(I17&gt;0,[5]EvaluaciónRiesgoCorrup!$F$11&lt;51,D17=4,E17=10),$F$28,IF(AND(I17&gt;0,[5]EvaluaciónRiesgoCorrup!$F$11&lt;51,D17=4,E17=20),$G$28," ")))</f>
        <v xml:space="preserve"> </v>
      </c>
      <c r="BM17" s="29" t="str">
        <f>IF(AND(I17&gt;0,[5]EvaluaciónRiesgoCorrup!$F$11&lt;51,D17=5,E17=5),$E$29,IF(AND(I17&gt;0,[5]EvaluaciónRiesgoCorrup!$F$11&lt;51,D17=5,E17=10),$F$29,IF(AND(I17&gt;0,[5]EvaluaciónRiesgoCorrup!$F$11&lt;51,D17=5,E17=20),$G$29," ")))</f>
        <v xml:space="preserve"> </v>
      </c>
    </row>
    <row r="18" spans="1:65" ht="153.75" customHeight="1" x14ac:dyDescent="0.3">
      <c r="A18" s="65">
        <f>[5]IdentRiesgo!A7</f>
        <v>0</v>
      </c>
      <c r="B18" s="22">
        <f>[5]IdentRiesgo!B7</f>
        <v>0</v>
      </c>
      <c r="C18" s="22">
        <f>[5]IdentRiesgo!D7</f>
        <v>0</v>
      </c>
      <c r="D18" s="23" t="str">
        <f>IF([5]AnálisisRiesgo!B10&gt;0,5,IF([5]AnálisisRiesgo!C10&gt;0,4,IF([5]AnálisisRiesgo!D10&gt;0,3,IF([5]AnálisisRiesgo!E10&gt;0,2,IF([5]AnálisisRiesgo!F10&gt;0,1,"")))))</f>
        <v/>
      </c>
      <c r="E18" s="23" t="str">
        <f>IF([5]AnálisisRiesgo!G10&gt;0,5,IF([5]AnálisisRiesgo!H10&gt;0,4,IF([5]AnálisisRiesgo!I10&gt;0,3,IF([5]AnálisisRiesgo!J10&gt;0,2,IF([5]AnálisisRiesgo!K10&gt;0,1,IF([5]AnálisisRiesgo!L10&gt;0,20,IF([5]AnálisisRiesgo!M10&gt;0,10,IF([5]AnálisisRiesgo!N10&gt;0,5,""))))))))</f>
        <v/>
      </c>
      <c r="F18" s="23" t="str">
        <f t="shared" ref="F18:F19" si="0">CONCATENATE(S18,T18,U18,V18,W18)</f>
        <v xml:space="preserve">     </v>
      </c>
      <c r="G18" s="24"/>
      <c r="H18" s="25"/>
      <c r="I18" s="26"/>
      <c r="J18" s="23" t="str">
        <f t="shared" ref="J18:J19" si="1">CONCATENATE(Z18,AA18,AB18,AC18,AD18,AF18,AG18,AH18,AI18,AJ18,AM18,AN18,AO18,AP18,AQ18,AU18,AV18,AW18,AX18,AY18,BB18,BC18,BD18,BE18,BF18,BI18,BJ18,BK18,BL18,BM18)</f>
        <v xml:space="preserve">                              </v>
      </c>
      <c r="K18" s="23"/>
      <c r="L18" s="23"/>
      <c r="M18" s="23"/>
      <c r="N18" s="27"/>
      <c r="O18" s="27"/>
      <c r="P18" s="27"/>
      <c r="Q18" s="29"/>
      <c r="S18" s="29" t="str">
        <f>IF(AND(D18=1,E18=5),$E$25,IF(AND(D18=1,E18=10),$F$25,IF(AND(D18=1,E18=20),$G$25," ")))</f>
        <v xml:space="preserve"> </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IF(AND(H18&gt;0,[5]EvaluaciónRiesgoCorrup!$F$11&gt;75,D18=1,E18=5),$E$25,IF(AND(H18&gt;0,[5]EvaluaciónRiesgoCorrup!$F$11&gt;75,D18=1,E18=10),$F$25,IF(AND(H18&gt;0,[5]EvaluaciónRiesgoCorrup!$F$11&gt;75,D18=1,E18=20),$G$25," ")))</f>
        <v xml:space="preserve"> </v>
      </c>
      <c r="AA18" s="29" t="str">
        <f>IF(AND(H18&gt;0,[5]EvaluaciónRiesgoCorrup!$F$11&gt;75,D18=2,E18=5),$E$25,IF(AND(H18&gt;0,[5]EvaluaciónRiesgoCorrup!$F$11&gt;75,D18=2,E18=10),$F$25,IF(AND(H18&gt;0,[5]EvaluaciónRiesgoCorrup!$F$11&gt;75,D18=2,E18=20),$G$25," ")))</f>
        <v xml:space="preserve"> </v>
      </c>
      <c r="AB18" s="29" t="str">
        <f>IF(AND(H18&gt;0,[5]EvaluaciónRiesgoCorrup!$F$11&gt;75,D18=3,E18=5),$E$25,IF(AND(H18&gt;0,[5]EvaluaciónRiesgoCorrup!$F$11&gt;75,D18=3,E18=10),$F$25,IF(AND(H18&gt;0,[5]EvaluaciónRiesgoCorrup!$F$11&gt;75,D18=3,E18=20),$G$25," ")))</f>
        <v xml:space="preserve"> </v>
      </c>
      <c r="AC18" s="29" t="str">
        <f>IF(AND(H18&gt;0,[5]EvaluaciónRiesgoCorrup!$F$11&gt;75,D18=4,E18=5),$E$26,IF(AND(H18&gt;0,[5]EvaluaciónRiesgoCorrup!$F$11&gt;75,D18=4,E18=10),$F$26,IF(AND(H18&gt;0,[5]EvaluaciónRiesgoCorrup!$F$11&gt;75,D18=4,E18=20),$G$26," ")))</f>
        <v xml:space="preserve"> </v>
      </c>
      <c r="AD18" s="29" t="str">
        <f>IF(AND(H18&gt;0,[5]EvaluaciónRiesgoCorrup!$F$11&gt;75,D18=5,E18=5),$E$27,IF(AND(H18&gt;0,[5]EvaluaciónRiesgoCorrup!$F$11&gt;75,D18=5,E18=10),$F$27,IF(AND(H18&gt;0,[5]EvaluaciónRiesgoCorrup!$F$11&gt;75,D18=5,E18=20),$G$27," ")))</f>
        <v xml:space="preserve"> </v>
      </c>
      <c r="AF18" s="29" t="str">
        <f>IF(AND(H18&gt;0,[5]EvaluaciónRiesgoCorrup!$F$11&gt;50,[5]EvaluaciónRiesgoCorrup!$F$11&lt;76,D18=1,E18=5),$E$25,IF(AND(H18&gt;0,[5]EvaluaciónRiesgoCorrup!$F$11&gt;50,[5]EvaluaciónRiesgoCorrup!$F$11&lt;76,D18=1,E18=10),$F$25,IF(AND(H18&gt;0,[5]EvaluaciónRiesgoCorrup!$F$11&gt;50,[5]EvaluaciónRiesgoCorrup!$F$11&lt;76,D18=1,E18=20),$G$25," ")))</f>
        <v xml:space="preserve"> </v>
      </c>
      <c r="AG18" s="29" t="str">
        <f>IF(AND(H18&gt;0,[5]EvaluaciónRiesgoCorrup!$F$11&gt;50,[5]EvaluaciónRiesgoCorrup!$F$11&lt;76,D18=2,E18=5),$E$25,IF(AND(H18&gt;0,[5]EvaluaciónRiesgoCorrup!$F$11&gt;50,[5]EvaluaciónRiesgoCorrup!$F$11&lt;76,D18=2,E18=10),$F$25,IF(AND(H18&gt;0,[5]EvaluaciónRiesgoCorrup!$F$11&gt;50,[5]EvaluaciónRiesgoCorrup!$F$11&lt;76,D18=2,E18=20),$G$25," ")))</f>
        <v xml:space="preserve"> </v>
      </c>
      <c r="AH18" s="29" t="str">
        <f>IF(AND(H18&gt;0,[5]EvaluaciónRiesgoCorrup!$F$11&gt;50,[5]EvaluaciónRiesgoCorrup!$F$11&lt;76,D18=3,E18=5),$E$26,IF(AND(H18&gt;0,[5]EvaluaciónRiesgoCorrup!$F$11&gt;50,[5]EvaluaciónRiesgoCorrup!$F$11&lt;76,D18=3,E18=10),$F$26,IF(AND(H18&gt;0,[5]EvaluaciónRiesgoCorrup!$F$11&gt;50,[5]EvaluaciónRiesgoCorrup!$F$11&lt;76,D18=3,E18=20),$G$26," ")))</f>
        <v xml:space="preserve"> </v>
      </c>
      <c r="AI18" s="29" t="str">
        <f>IF(AND(H18&gt;0,[5]EvaluaciónRiesgoCorrup!$F$11&gt;50,[5]EvaluaciónRiesgoCorrup!$F$11&lt;76,D18=4,E18=5),$E$27,IF(AND(H18&gt;0,[5]EvaluaciónRiesgoCorrup!$F$11&gt;50,[5]EvaluaciónRiesgoCorrup!$F$11&lt;76,D18=4,E18=10),$F$27,IF(AND(H18&gt;0,[5]EvaluaciónRiesgoCorrup!$F$11&gt;50,[5]EvaluaciónRiesgoCorrup!$F$11&lt;76,D18=4,E18=20),$G$27," ")))</f>
        <v xml:space="preserve"> </v>
      </c>
      <c r="AJ18" s="29" t="str">
        <f>IF(AND(H18&gt;0,[5]EvaluaciónRiesgoCorrup!$F$11&gt;50,[5]EvaluaciónRiesgoCorrup!$F$11&lt;76,D18=5,E18=5),$E$28,IF(AND(H18&gt;0,[5]EvaluaciónRiesgoCorrup!$F$11&gt;50,[5]EvaluaciónRiesgoCorrup!$F$11&lt;76,D18=5,E18=10),$F$28,IF(AND(H18&gt;0,[5]EvaluaciónRiesgoCorrup!$F$11&gt;50,[5]EvaluaciónRiesgoCorrup!$F$11&lt;76,D18=5,E18=20),$G$28," ")))</f>
        <v xml:space="preserve"> </v>
      </c>
      <c r="AM18" s="29" t="str">
        <f>IF(AND(H18&gt;0,[5]EvaluaciónRiesgoCorrup!$F$11&lt;51,D18=1,E18=5),$E$25,IF(AND(H18&gt;0,[5]EvaluaciónRiesgoCorrup!$F$11&lt;51,D18=1,E18=10),$F$25,IF(AND(H18&gt;0,[5]EvaluaciónRiesgoCorrup!$F$11&lt;51,D18=1,E18=20),G$25," ")))</f>
        <v xml:space="preserve"> </v>
      </c>
      <c r="AN18" s="29" t="str">
        <f>IF(AND(H18&gt;0,[5]EvaluaciónRiesgoCorrup!$F$11&lt;51,D18=2,E18=5),$E$26,IF(AND(H18&gt;0,[5]EvaluaciónRiesgoCorrup!$F$11&lt;51,D18=2,E18=10),$F$26,IF(AND(H18&gt;0,[5]EvaluaciónRiesgoCorrup!$F$11&lt;51,D18=2,E18=20),G$26," ")))</f>
        <v xml:space="preserve"> </v>
      </c>
      <c r="AO18" s="29" t="str">
        <f>IF(AND(H18&gt;0,[5]EvaluaciónRiesgoCorrup!$F$11&lt;51,D18=3,E18=5),$E$27,IF(AND(H18&gt;0,[5]EvaluaciónRiesgoCorrup!$F$11&lt;51,D18=3,E18=10),$F$27,IF(AND(H18&gt;0,[5]EvaluaciónRiesgoCorrup!$F$11&lt;51,D18=3,E18=20),G$27," ")))</f>
        <v xml:space="preserve"> </v>
      </c>
      <c r="AP18" s="29" t="str">
        <f>IF(AND(H18&gt;0,[5]EvaluaciónRiesgoCorrup!$F$11&lt;51,D18=4,E18=5),$E$28,IF(AND(H18&gt;0,[5]EvaluaciónRiesgoCorrup!$F$11&lt;51,D18=4,E18=10),$F$28,IF(AND(H18&gt;0,[5]EvaluaciónRiesgoCorrup!$F$11&lt;51,D18=4,E18=20),G$28," ")))</f>
        <v xml:space="preserve"> </v>
      </c>
      <c r="AQ18" s="29" t="str">
        <f>IF(AND(H18&gt;0,[5]EvaluaciónRiesgoCorrup!$F$11&lt;51,D18=5,E18=5),$E$29,IF(AND(H18&gt;0,[5]EvaluaciónRiesgoCorrup!$F$11&lt;51,D18=5,E18=10),$F$29,IF(AND(H18&gt;0,[5]EvaluaciónRiesgoCorrup!$F$11&lt;51,D18=5,E18=20),G$29," ")))</f>
        <v xml:space="preserve"> </v>
      </c>
      <c r="AU18" s="29" t="str">
        <f>IF(AND(I18&gt;0,[5]EvaluaciónRiesgoCorrup!$F$11&gt;75,D18=1,E18=5),$E$25,IF(AND(I18&gt;0,[5]EvaluaciónRiesgoCorrup!$F$11&gt;75,D18=1,E18=10),$E$25,IF(AND(I18&gt;0,[5]EvaluaciónRiesgoCorrup!$F$11&gt;75,D18=1,E18=20),$E$25," ")))</f>
        <v xml:space="preserve"> </v>
      </c>
      <c r="AV18" s="29" t="str">
        <f>IF(AND(I18&gt;0,[5]EvaluaciónRiesgoCorrup!$F$11&gt;75,D18=2,E18=5),$E$26,IF(AND(I18&gt;0,[5]EvaluaciónRiesgoCorrup!$F$11&gt;75,D18=2,E18=10),$E$26,IF(AND(I18&gt;0,[5]EvaluaciónRiesgoCorrup!$F$11&gt;75,D18=2,E18=20),$E$26," ")))</f>
        <v xml:space="preserve"> </v>
      </c>
      <c r="AW18" s="29" t="str">
        <f>IF(AND(I18&gt;0,[5]EvaluaciónRiesgoCorrup!$F$11&gt;75,D18=3,E18=5),$E$27,IF(AND(I18&gt;0,[5]EvaluaciónRiesgoCorrup!$F$11&gt;75,D18=3,E18=10),$E$27,IF(AND(I18&gt;0,[5]EvaluaciónRiesgoCorrup!$F$11&gt;75,D18=3,E18=20),$E$27," ")))</f>
        <v xml:space="preserve"> </v>
      </c>
      <c r="AX18" s="29" t="str">
        <f>IF(AND(I18&gt;0,[5]EvaluaciónRiesgoCorrup!$F$11&gt;75,D18=4,E18=5),$E$28,IF(AND(I18&gt;0,[5]EvaluaciónRiesgoCorrup!$F$11&gt;75,D18=4,E18=10),$E$28,IF(AND(I18&gt;0,[5]EvaluaciónRiesgoCorrup!$F$11&gt;75,D18=4,E18=20),$E$28," ")))</f>
        <v xml:space="preserve"> </v>
      </c>
      <c r="AY18" s="29" t="str">
        <f>IF(AND(I18&gt;0,[5]EvaluaciónRiesgoCorrup!$F$11&gt;75,D18=5,E18=5),$E$29,IF(AND(I18&gt;0,[5]EvaluaciónRiesgoCorrup!$F$11&gt;75,D18=5,E18=10),$E$29,IF(AND(I18&gt;0,[5]EvaluaciónRiesgoCorrup!$F$11&gt;75,D18=5,E18=20),$E$29," ")))</f>
        <v xml:space="preserve"> </v>
      </c>
      <c r="BB18" s="29" t="str">
        <f>IF(AND(I18&gt;0,[5]EvaluaciónRiesgoCorrup!$F$11&gt;50,[5]EvaluaciónRiesgoCorrup!$F$11&lt;76,D18=1,E18=5),$E$25,IF(AND(I18&gt;0,[5]EvaluaciónRiesgoCorrup!$F$11&gt;50,[5]EvaluaciónRiesgoCorrup!$F$11&lt;76,D18=1,E18=10),$E$25,IF(AND(I18&gt;0,[5]EvaluaciónRiesgoCorrup!$F$11&gt;50,[5]EvaluaciónRiesgoCorrup!$F$11&lt;76,D18=1,E18=20),$F$25," ")))</f>
        <v xml:space="preserve"> </v>
      </c>
      <c r="BC18" s="29" t="str">
        <f>IF(AND(I18&gt;0,[5]EvaluaciónRiesgoCorrup!$F$11&gt;50,[5]EvaluaciónRiesgoCorrup!$F$11&lt;76,D18=2,E18=5),$E$26,IF(AND(I18&gt;0,[5]EvaluaciónRiesgoCorrup!$F$11&gt;50,[5]EvaluaciónRiesgoCorrup!$F$11&lt;76,D18=2,E18=10),$E$26,IF(AND(I18&gt;0,[5]EvaluaciónRiesgoCorrup!$F$11&gt;50,[5]EvaluaciónRiesgoCorrup!$F$11&lt;76,D18=2,E18=20),$F$26," ")))</f>
        <v xml:space="preserve"> </v>
      </c>
      <c r="BD18" s="29" t="str">
        <f>IF(AND(I18&gt;0,[5]EvaluaciónRiesgoCorrup!$F$11&gt;50,[5]EvaluaciónRiesgoCorrup!$F$11&lt;76,D18=3,E18=5),$E$27,IF(AND(I18&gt;0,[5]EvaluaciónRiesgoCorrup!$F$11&gt;50,[5]EvaluaciónRiesgoCorrup!$F$11&lt;76,D18=3,E18=10),$E$27,IF(AND(I18&gt;0,[5]EvaluaciónRiesgoCorrup!$F$11&gt;50,[5]EvaluaciónRiesgoCorrup!$F$11&lt;76,D18=3,E18=20),$F$27," ")))</f>
        <v xml:space="preserve"> </v>
      </c>
      <c r="BE18" s="29" t="str">
        <f>IF(AND(I18&gt;0,[5]EvaluaciónRiesgoCorrup!$F$11&gt;50,[5]EvaluaciónRiesgoCorrup!$F$11&lt;76,D18=4,E18=5),$E$28,IF(AND(I18&gt;0,[5]EvaluaciónRiesgoCorrup!$F$11&gt;50,[5]EvaluaciónRiesgoCorrup!$F$11&lt;76,D18=4,E18=10),$E$28,IF(AND(I18&gt;0,[5]EvaluaciónRiesgoCorrup!$F$11&gt;50,[5]EvaluaciónRiesgoCorrup!$F$11&lt;76,D18=4,E18=20),$F$28," ")))</f>
        <v xml:space="preserve"> </v>
      </c>
      <c r="BF18" s="29" t="str">
        <f>IF(AND(I18&gt;0,[5]EvaluaciónRiesgoCorrup!$F$11&gt;50,[5]EvaluaciónRiesgoCorrup!$F$11&lt;76,D18=5,E18=5),$E$29,IF(AND(I18&gt;0,[5]EvaluaciónRiesgoCorrup!$F$11&gt;50,[5]EvaluaciónRiesgoCorrup!$F$11&lt;76,D18=5,E18=10),$E$29,IF(AND(I18&gt;0,[5]EvaluaciónRiesgoCorrup!$F$11&gt;50,[5]EvaluaciónRiesgoCorrup!$F$11&lt;76,D18=5,E18=20),$F$29," ")))</f>
        <v xml:space="preserve"> </v>
      </c>
      <c r="BI18" s="29" t="str">
        <f>IF(AND(I18&gt;0,[5]EvaluaciónRiesgoCorrup!$F$11&lt;51,D18=1,E18=5),$E$25,IF(AND(I18&gt;0,[5]EvaluaciónRiesgoCorrup!$F$11&lt;51,D18=1,E18=10),$F$25,IF(AND(I18&gt;0,[5]EvaluaciónRiesgoCorrup!$F$11&lt;51,D18=1,E18=20),$G$25," ")))</f>
        <v xml:space="preserve"> </v>
      </c>
      <c r="BJ18" s="29" t="str">
        <f>IF(AND(I18&gt;0,[5]EvaluaciónRiesgoCorrup!$F$11&lt;51,D18=2,E18=5),$E$26,IF(AND(I18&gt;0,[5]EvaluaciónRiesgoCorrup!$F$11&lt;51,D18=2,E18=10),$F$26,IF(AND(I18&gt;0,[5]EvaluaciónRiesgoCorrup!$F$11&lt;51,D18=2,E18=20),$G$26," ")))</f>
        <v xml:space="preserve"> </v>
      </c>
      <c r="BK18" s="29" t="str">
        <f>IF(AND(I18&gt;0,[5]EvaluaciónRiesgoCorrup!$F$11&lt;51,D18=3,E18=5),$E$27,IF(AND(I18&gt;0,[5]EvaluaciónRiesgoCorrup!$F$11&lt;51,D18=3,E18=10),$F$27,IF(AND(I18&gt;0,[5]EvaluaciónRiesgoCorrup!$F$11&lt;51,D18=3,E18=20),$G$27," ")))</f>
        <v xml:space="preserve"> </v>
      </c>
      <c r="BL18" s="29" t="str">
        <f>IF(AND(I18&gt;0,[5]EvaluaciónRiesgoCorrup!$F$11&lt;51,D18=4,E18=5),$E$28,IF(AND(I18&gt;0,[5]EvaluaciónRiesgoCorrup!$F$11&lt;51,D18=4,E18=10),$F$28,IF(AND(I18&gt;0,[5]EvaluaciónRiesgoCorrup!$F$11&lt;51,D18=4,E18=20),$G$28," ")))</f>
        <v xml:space="preserve"> </v>
      </c>
      <c r="BM18" s="29" t="str">
        <f>IF(AND(I18&gt;0,[5]EvaluaciónRiesgoCorrup!$F$11&lt;51,D18=5,E18=5),$E$29,IF(AND(I18&gt;0,[5]EvaluaciónRiesgoCorrup!$F$11&lt;51,D18=5,E18=10),$F$29,IF(AND(I18&gt;0,[5]EvaluaciónRiesgoCorrup!$F$11&lt;51,D18=5,E18=20),$G$29," ")))</f>
        <v xml:space="preserve"> </v>
      </c>
    </row>
    <row r="19" spans="1:65" ht="153.75" customHeight="1" x14ac:dyDescent="0.3">
      <c r="A19" s="65">
        <f>[5]IdentRiesgo!A8</f>
        <v>0</v>
      </c>
      <c r="B19" s="22">
        <f>[5]IdentRiesgo!B8</f>
        <v>0</v>
      </c>
      <c r="C19" s="22">
        <f>[5]IdentRiesgo!D8</f>
        <v>0</v>
      </c>
      <c r="D19" s="23" t="str">
        <f>IF([5]AnálisisRiesgo!B11&gt;0,5,IF([5]AnálisisRiesgo!C11&gt;0,4,IF([5]AnálisisRiesgo!D11&gt;0,3,IF([5]AnálisisRiesgo!E11&gt;0,2,IF([5]AnálisisRiesgo!F11&gt;0,1,"")))))</f>
        <v/>
      </c>
      <c r="E19" s="23" t="str">
        <f>IF([5]AnálisisRiesgo!G11&gt;0,5,IF([5]AnálisisRiesgo!H11&gt;0,4,IF([5]AnálisisRiesgo!I11&gt;0,3,IF([5]AnálisisRiesgo!J11&gt;0,2,IF([5]AnálisisRiesgo!K11&gt;0,1,IF([5]AnálisisRiesgo!L11&gt;0,20,IF([5]AnálisisRiesgo!M11&gt;0,10,IF([5]AnálisisRiesgo!N11&gt;0,5,""))))))))</f>
        <v/>
      </c>
      <c r="F19" s="23" t="str">
        <f t="shared" si="0"/>
        <v xml:space="preserve">     </v>
      </c>
      <c r="G19" s="24"/>
      <c r="H19" s="25"/>
      <c r="I19" s="26"/>
      <c r="J19" s="23" t="str">
        <f t="shared" si="1"/>
        <v xml:space="preserve">                              </v>
      </c>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IF(AND(H19&gt;0,[5]EvaluaciónRiesgoCorrup!$F$11&gt;75,D19=1,E19=5),$E$25,IF(AND(H19&gt;0,[5]EvaluaciónRiesgoCorrup!$F$11&gt;75,D19=1,E19=10),$F$25,IF(AND(H19&gt;0,[5]EvaluaciónRiesgoCorrup!$F$11&gt;75,D19=1,E19=20),$G$25," ")))</f>
        <v xml:space="preserve"> </v>
      </c>
      <c r="AA19" s="29" t="str">
        <f>IF(AND(H19&gt;0,[5]EvaluaciónRiesgoCorrup!$F$11&gt;75,D19=2,E19=5),$E$25,IF(AND(H19&gt;0,[5]EvaluaciónRiesgoCorrup!$F$11&gt;75,D19=2,E19=10),$F$25,IF(AND(H19&gt;0,[5]EvaluaciónRiesgoCorrup!$F$11&gt;75,D19=2,E19=20),$G$25," ")))</f>
        <v xml:space="preserve"> </v>
      </c>
      <c r="AB19" s="29" t="str">
        <f>IF(AND(H19&gt;0,[5]EvaluaciónRiesgoCorrup!$F$11&gt;75,D19=3,E19=5),$E$25,IF(AND(H19&gt;0,[5]EvaluaciónRiesgoCorrup!$F$11&gt;75,D19=3,E19=10),$F$25,IF(AND(H19&gt;0,[5]EvaluaciónRiesgoCorrup!$F$11&gt;75,D19=3,E19=20),$G$25," ")))</f>
        <v xml:space="preserve"> </v>
      </c>
      <c r="AC19" s="29" t="str">
        <f>IF(AND(H19&gt;0,[5]EvaluaciónRiesgoCorrup!$F$11&gt;75,D19=4,E19=5),$E$26,IF(AND(H19&gt;0,[5]EvaluaciónRiesgoCorrup!$F$11&gt;75,D19=4,E19=10),$F$26,IF(AND(H19&gt;0,[5]EvaluaciónRiesgoCorrup!$F$11&gt;75,D19=4,E19=20),$G$26," ")))</f>
        <v xml:space="preserve"> </v>
      </c>
      <c r="AD19" s="29" t="str">
        <f>IF(AND(H19&gt;0,[5]EvaluaciónRiesgoCorrup!$F$11&gt;75,D19=5,E19=5),$E$27,IF(AND(H19&gt;0,[5]EvaluaciónRiesgoCorrup!$F$11&gt;75,D19=5,E19=10),$F$27,IF(AND(H19&gt;0,[5]EvaluaciónRiesgoCorrup!$F$11&gt;75,D19=5,E19=20),$G$27," ")))</f>
        <v xml:space="preserve"> </v>
      </c>
      <c r="AF19" s="29" t="str">
        <f>IF(AND(H19&gt;0,[5]EvaluaciónRiesgoCorrup!$F$11&gt;50,[5]EvaluaciónRiesgoCorrup!$F$11&lt;76,D19=1,E19=5),$E$25,IF(AND(H19&gt;0,[5]EvaluaciónRiesgoCorrup!$F$11&gt;50,[5]EvaluaciónRiesgoCorrup!$F$11&lt;76,D19=1,E19=10),$F$25,IF(AND(H19&gt;0,[5]EvaluaciónRiesgoCorrup!$F$11&gt;50,[5]EvaluaciónRiesgoCorrup!$F$11&lt;76,D19=1,E19=20),$G$25," ")))</f>
        <v xml:space="preserve"> </v>
      </c>
      <c r="AG19" s="29" t="str">
        <f>IF(AND(H19&gt;0,[5]EvaluaciónRiesgoCorrup!$F$11&gt;50,[5]EvaluaciónRiesgoCorrup!$F$11&lt;76,D19=2,E19=5),$E$25,IF(AND(H19&gt;0,[5]EvaluaciónRiesgoCorrup!$F$11&gt;50,[5]EvaluaciónRiesgoCorrup!$F$11&lt;76,D19=2,E19=10),$F$25,IF(AND(H19&gt;0,[5]EvaluaciónRiesgoCorrup!$F$11&gt;50,[5]EvaluaciónRiesgoCorrup!$F$11&lt;76,D19=2,E19=20),$G$25," ")))</f>
        <v xml:space="preserve"> </v>
      </c>
      <c r="AH19" s="29" t="str">
        <f>IF(AND(H19&gt;0,[5]EvaluaciónRiesgoCorrup!$F$11&gt;50,[5]EvaluaciónRiesgoCorrup!$F$11&lt;76,D19=3,E19=5),$E$26,IF(AND(H19&gt;0,[5]EvaluaciónRiesgoCorrup!$F$11&gt;50,[5]EvaluaciónRiesgoCorrup!$F$11&lt;76,D19=3,E19=10),$F$26,IF(AND(H19&gt;0,[5]EvaluaciónRiesgoCorrup!$F$11&gt;50,[5]EvaluaciónRiesgoCorrup!$F$11&lt;76,D19=3,E19=20),$G$26," ")))</f>
        <v xml:space="preserve"> </v>
      </c>
      <c r="AI19" s="29" t="str">
        <f>IF(AND(H19&gt;0,[5]EvaluaciónRiesgoCorrup!$F$11&gt;50,[5]EvaluaciónRiesgoCorrup!$F$11&lt;76,D19=4,E19=5),$E$27,IF(AND(H19&gt;0,[5]EvaluaciónRiesgoCorrup!$F$11&gt;50,[5]EvaluaciónRiesgoCorrup!$F$11&lt;76,D19=4,E19=10),$F$27,IF(AND(H19&gt;0,[5]EvaluaciónRiesgoCorrup!$F$11&gt;50,[5]EvaluaciónRiesgoCorrup!$F$11&lt;76,D19=4,E19=20),$G$27," ")))</f>
        <v xml:space="preserve"> </v>
      </c>
      <c r="AJ19" s="29" t="str">
        <f>IF(AND(H19&gt;0,[5]EvaluaciónRiesgoCorrup!$F$11&gt;50,[5]EvaluaciónRiesgoCorrup!$F$11&lt;76,D19=5,E19=5),$E$28,IF(AND(H19&gt;0,[5]EvaluaciónRiesgoCorrup!$F$11&gt;50,[5]EvaluaciónRiesgoCorrup!$F$11&lt;76,D19=5,E19=10),$F$28,IF(AND(H19&gt;0,[5]EvaluaciónRiesgoCorrup!$F$11&gt;50,[5]EvaluaciónRiesgoCorrup!$F$11&lt;76,D19=5,E19=20),$G$28," ")))</f>
        <v xml:space="preserve"> </v>
      </c>
      <c r="AM19" s="29" t="str">
        <f>IF(AND(H19&gt;0,[5]EvaluaciónRiesgoCorrup!$F$11&lt;51,D19=1,E19=5),$E$25,IF(AND(H19&gt;0,[5]EvaluaciónRiesgoCorrup!$F$11&lt;51,D19=1,E19=10),$F$25,IF(AND(H19&gt;0,[5]EvaluaciónRiesgoCorrup!$F$11&lt;51,D19=1,E19=20),G$25," ")))</f>
        <v xml:space="preserve"> </v>
      </c>
      <c r="AN19" s="29" t="str">
        <f>IF(AND(H19&gt;0,[5]EvaluaciónRiesgoCorrup!$F$11&lt;51,D19=2,E19=5),$E$26,IF(AND(H19&gt;0,[5]EvaluaciónRiesgoCorrup!$F$11&lt;51,D19=2,E19=10),$F$26,IF(AND(H19&gt;0,[5]EvaluaciónRiesgoCorrup!$F$11&lt;51,D19=2,E19=20),G$26," ")))</f>
        <v xml:space="preserve"> </v>
      </c>
      <c r="AO19" s="29" t="str">
        <f>IF(AND(H19&gt;0,[5]EvaluaciónRiesgoCorrup!$F$11&lt;51,D19=3,E19=5),$E$27,IF(AND(H19&gt;0,[5]EvaluaciónRiesgoCorrup!$F$11&lt;51,D19=3,E19=10),$F$27,IF(AND(H19&gt;0,[5]EvaluaciónRiesgoCorrup!$F$11&lt;51,D19=3,E19=20),G$27," ")))</f>
        <v xml:space="preserve"> </v>
      </c>
      <c r="AP19" s="29" t="str">
        <f>IF(AND(H19&gt;0,[5]EvaluaciónRiesgoCorrup!$F$11&lt;51,D19=4,E19=5),$E$28,IF(AND(H19&gt;0,[5]EvaluaciónRiesgoCorrup!$F$11&lt;51,D19=4,E19=10),$F$28,IF(AND(H19&gt;0,[5]EvaluaciónRiesgoCorrup!$F$11&lt;51,D19=4,E19=20),G$28," ")))</f>
        <v xml:space="preserve"> </v>
      </c>
      <c r="AQ19" s="29" t="str">
        <f>IF(AND(H19&gt;0,[5]EvaluaciónRiesgoCorrup!$F$11&lt;51,D19=5,E19=5),$E$29,IF(AND(H19&gt;0,[5]EvaluaciónRiesgoCorrup!$F$11&lt;51,D19=5,E19=10),$F$29,IF(AND(H19&gt;0,[5]EvaluaciónRiesgoCorrup!$F$11&lt;51,D19=5,E19=20),G$29," ")))</f>
        <v xml:space="preserve"> </v>
      </c>
      <c r="AU19" s="29" t="str">
        <f>IF(AND(I19&gt;0,[5]EvaluaciónRiesgoCorrup!$F$11&gt;75,D19=1,E19=5),$E$25,IF(AND(I19&gt;0,[5]EvaluaciónRiesgoCorrup!$F$11&gt;75,D19=1,E19=10),$E$25,IF(AND(I19&gt;0,[5]EvaluaciónRiesgoCorrup!$F$11&gt;75,D19=1,E19=20),$E$25," ")))</f>
        <v xml:space="preserve"> </v>
      </c>
      <c r="AV19" s="29" t="str">
        <f>IF(AND(I19&gt;0,[5]EvaluaciónRiesgoCorrup!$F$11&gt;75,D19=2,E19=5),$E$26,IF(AND(I19&gt;0,[5]EvaluaciónRiesgoCorrup!$F$11&gt;75,D19=2,E19=10),$E$26,IF(AND(I19&gt;0,[5]EvaluaciónRiesgoCorrup!$F$11&gt;75,D19=2,E19=20),$E$26," ")))</f>
        <v xml:space="preserve"> </v>
      </c>
      <c r="AW19" s="29" t="str">
        <f>IF(AND(I19&gt;0,[5]EvaluaciónRiesgoCorrup!$F$11&gt;75,D19=3,E19=5),$E$27,IF(AND(I19&gt;0,[5]EvaluaciónRiesgoCorrup!$F$11&gt;75,D19=3,E19=10),$E$27,IF(AND(I19&gt;0,[5]EvaluaciónRiesgoCorrup!$F$11&gt;75,D19=3,E19=20),$E$27," ")))</f>
        <v xml:space="preserve"> </v>
      </c>
      <c r="AX19" s="29" t="str">
        <f>IF(AND(I19&gt;0,[5]EvaluaciónRiesgoCorrup!$F$11&gt;75,D19=4,E19=5),$E$28,IF(AND(I19&gt;0,[5]EvaluaciónRiesgoCorrup!$F$11&gt;75,D19=4,E19=10),$E$28,IF(AND(I19&gt;0,[5]EvaluaciónRiesgoCorrup!$F$11&gt;75,D19=4,E19=20),$E$28," ")))</f>
        <v xml:space="preserve"> </v>
      </c>
      <c r="AY19" s="29" t="str">
        <f>IF(AND(I19&gt;0,[5]EvaluaciónRiesgoCorrup!$F$11&gt;75,D19=5,E19=5),$E$29,IF(AND(I19&gt;0,[5]EvaluaciónRiesgoCorrup!$F$11&gt;75,D19=5,E19=10),$E$29,IF(AND(I19&gt;0,[5]EvaluaciónRiesgoCorrup!$F$11&gt;75,D19=5,E19=20),$E$29," ")))</f>
        <v xml:space="preserve"> </v>
      </c>
      <c r="BB19" s="29" t="str">
        <f>IF(AND(I19&gt;0,[5]EvaluaciónRiesgoCorrup!$F$11&gt;50,[5]EvaluaciónRiesgoCorrup!$F$11&lt;76,D19=1,E19=5),$E$25,IF(AND(I19&gt;0,[5]EvaluaciónRiesgoCorrup!$F$11&gt;50,[5]EvaluaciónRiesgoCorrup!$F$11&lt;76,D19=1,E19=10),$E$25,IF(AND(I19&gt;0,[5]EvaluaciónRiesgoCorrup!$F$11&gt;50,[5]EvaluaciónRiesgoCorrup!$F$11&lt;76,D19=1,E19=20),$F$25," ")))</f>
        <v xml:space="preserve"> </v>
      </c>
      <c r="BC19" s="29" t="str">
        <f>IF(AND(I19&gt;0,[5]EvaluaciónRiesgoCorrup!$F$11&gt;50,[5]EvaluaciónRiesgoCorrup!$F$11&lt;76,D19=2,E19=5),$E$26,IF(AND(I19&gt;0,[5]EvaluaciónRiesgoCorrup!$F$11&gt;50,[5]EvaluaciónRiesgoCorrup!$F$11&lt;76,D19=2,E19=10),$E$26,IF(AND(I19&gt;0,[5]EvaluaciónRiesgoCorrup!$F$11&gt;50,[5]EvaluaciónRiesgoCorrup!$F$11&lt;76,D19=2,E19=20),$F$26," ")))</f>
        <v xml:space="preserve"> </v>
      </c>
      <c r="BD19" s="29" t="str">
        <f>IF(AND(I19&gt;0,[5]EvaluaciónRiesgoCorrup!$F$11&gt;50,[5]EvaluaciónRiesgoCorrup!$F$11&lt;76,D19=3,E19=5),$E$27,IF(AND(I19&gt;0,[5]EvaluaciónRiesgoCorrup!$F$11&gt;50,[5]EvaluaciónRiesgoCorrup!$F$11&lt;76,D19=3,E19=10),$E$27,IF(AND(I19&gt;0,[5]EvaluaciónRiesgoCorrup!$F$11&gt;50,[5]EvaluaciónRiesgoCorrup!$F$11&lt;76,D19=3,E19=20),$F$27," ")))</f>
        <v xml:space="preserve"> </v>
      </c>
      <c r="BE19" s="29" t="str">
        <f>IF(AND(I19&gt;0,[5]EvaluaciónRiesgoCorrup!$F$11&gt;50,[5]EvaluaciónRiesgoCorrup!$F$11&lt;76,D19=4,E19=5),$E$28,IF(AND(I19&gt;0,[5]EvaluaciónRiesgoCorrup!$F$11&gt;50,[5]EvaluaciónRiesgoCorrup!$F$11&lt;76,D19=4,E19=10),$E$28,IF(AND(I19&gt;0,[5]EvaluaciónRiesgoCorrup!$F$11&gt;50,[5]EvaluaciónRiesgoCorrup!$F$11&lt;76,D19=4,E19=20),$F$28," ")))</f>
        <v xml:space="preserve"> </v>
      </c>
      <c r="BF19" s="29" t="str">
        <f>IF(AND(I19&gt;0,[5]EvaluaciónRiesgoCorrup!$F$11&gt;50,[5]EvaluaciónRiesgoCorrup!$F$11&lt;76,D19=5,E19=5),$E$29,IF(AND(I19&gt;0,[5]EvaluaciónRiesgoCorrup!$F$11&gt;50,[5]EvaluaciónRiesgoCorrup!$F$11&lt;76,D19=5,E19=10),$E$29,IF(AND(I19&gt;0,[5]EvaluaciónRiesgoCorrup!$F$11&gt;50,[5]EvaluaciónRiesgoCorrup!$F$11&lt;76,D19=5,E19=20),$F$29," ")))</f>
        <v xml:space="preserve"> </v>
      </c>
      <c r="BI19" s="29" t="str">
        <f>IF(AND(I19&gt;0,[5]EvaluaciónRiesgoCorrup!$F$11&lt;51,D19=1,E19=5),$E$25,IF(AND(I19&gt;0,[5]EvaluaciónRiesgoCorrup!$F$11&lt;51,D19=1,E19=10),$F$25,IF(AND(I19&gt;0,[5]EvaluaciónRiesgoCorrup!$F$11&lt;51,D19=1,E19=20),$G$25," ")))</f>
        <v xml:space="preserve"> </v>
      </c>
      <c r="BJ19" s="29" t="str">
        <f>IF(AND(I19&gt;0,[5]EvaluaciónRiesgoCorrup!$F$11&lt;51,D19=2,E19=5),$E$26,IF(AND(I19&gt;0,[5]EvaluaciónRiesgoCorrup!$F$11&lt;51,D19=2,E19=10),$F$26,IF(AND(I19&gt;0,[5]EvaluaciónRiesgoCorrup!$F$11&lt;51,D19=2,E19=20),$G$26," ")))</f>
        <v xml:space="preserve"> </v>
      </c>
      <c r="BK19" s="29" t="str">
        <f>IF(AND(I19&gt;0,[5]EvaluaciónRiesgoCorrup!$F$11&lt;51,D19=3,E19=5),$E$27,IF(AND(I19&gt;0,[5]EvaluaciónRiesgoCorrup!$F$11&lt;51,D19=3,E19=10),$F$27,IF(AND(I19&gt;0,[5]EvaluaciónRiesgoCorrup!$F$11&lt;51,D19=3,E19=20),$G$27," ")))</f>
        <v xml:space="preserve"> </v>
      </c>
      <c r="BL19" s="29" t="str">
        <f>IF(AND(I19&gt;0,[5]EvaluaciónRiesgoCorrup!$F$11&lt;51,D19=4,E19=5),$E$28,IF(AND(I19&gt;0,[5]EvaluaciónRiesgoCorrup!$F$11&lt;51,D19=4,E19=10),$F$28,IF(AND(I19&gt;0,[5]EvaluaciónRiesgoCorrup!$F$11&lt;51,D19=4,E19=20),$G$28," ")))</f>
        <v xml:space="preserve"> </v>
      </c>
      <c r="BM19" s="29" t="str">
        <f>IF(AND(I19&gt;0,[5]EvaluaciónRiesgoCorrup!$F$11&lt;51,D19=5,E19=5),$E$29,IF(AND(I19&gt;0,[5]EvaluaciónRiesgoCorrup!$F$11&lt;51,D19=5,E19=10),$F$29,IF(AND(I19&gt;0,[5]EvaluaciónRiesgoCorrup!$F$11&lt;51,D19=5,E19=20),$G$29," ")))</f>
        <v xml:space="preserve"> </v>
      </c>
    </row>
    <row r="20" spans="1:65" ht="13.9" x14ac:dyDescent="0.3">
      <c r="A20" s="65"/>
      <c r="B20" s="22"/>
      <c r="C20" s="22"/>
    </row>
    <row r="21" spans="1:65" x14ac:dyDescent="0.25">
      <c r="A21" s="29"/>
      <c r="B21" s="31"/>
      <c r="C21" s="31"/>
    </row>
    <row r="22" spans="1:65" ht="15" thickBot="1" x14ac:dyDescent="0.3">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3:D24"/>
    <mergeCell ref="E23:G23"/>
    <mergeCell ref="K15:M15"/>
  </mergeCells>
  <conditionalFormatting sqref="F17:F19 J17:J19">
    <cfRule type="containsText" dxfId="47" priority="1" operator="containsText" text="E">
      <formula>NOT(ISERROR(SEARCH("E",F17)))</formula>
    </cfRule>
    <cfRule type="containsText" dxfId="46" priority="2" operator="containsText" text="M">
      <formula>NOT(ISERROR(SEARCH("M",F17)))</formula>
    </cfRule>
    <cfRule type="containsText" dxfId="45" priority="3" operator="containsText" text="A">
      <formula>NOT(ISERROR(SEARCH("A",F17)))</formula>
    </cfRule>
    <cfRule type="containsText" dxfId="44"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view="pageBreakPreview" zoomScale="30" zoomScaleNormal="55" zoomScaleSheetLayoutView="30" workbookViewId="0">
      <selection activeCell="D12" sqref="D12:Q12"/>
    </sheetView>
  </sheetViews>
  <sheetFormatPr baseColWidth="10" defaultColWidth="11.42578125" defaultRowHeight="14.25" x14ac:dyDescent="0.25"/>
  <cols>
    <col min="1" max="1" width="34.7109375" style="2" customWidth="1"/>
    <col min="2" max="2" width="25.5703125" style="2" customWidth="1"/>
    <col min="3" max="3" width="19.7109375" style="2" customWidth="1"/>
    <col min="4" max="4" width="27" style="5" customWidth="1"/>
    <col min="5" max="5" width="19" style="5" customWidth="1"/>
    <col min="6" max="6" width="26.7109375" style="5" customWidth="1"/>
    <col min="7" max="7" width="29.7109375" style="2" customWidth="1"/>
    <col min="8" max="8" width="21.5703125" style="5" customWidth="1"/>
    <col min="9" max="9" width="18.5703125" style="2" customWidth="1"/>
    <col min="10" max="10" width="21.7109375" style="2" customWidth="1"/>
    <col min="11" max="11" width="19.85546875" style="2" customWidth="1"/>
    <col min="12" max="12" width="26" style="2" customWidth="1"/>
    <col min="13" max="13" width="39.42578125"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[6]IdentRiesgo!B2</f>
        <v>ATENCION AL CIUDADANO</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[6]IdentRiesgo!B3</f>
        <v>Brindar a los usuarios internos y externos del Instituto, una atención y orientación oportuna, eficaz y eficiente, con calidad, garantizando un trato amable y el acceso efectivo a la información que genera el IDEAM.</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107</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72"/>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72" t="s">
        <v>28</v>
      </c>
      <c r="E16" s="72" t="s">
        <v>12</v>
      </c>
      <c r="F16" s="72" t="s">
        <v>29</v>
      </c>
      <c r="G16" s="107"/>
      <c r="H16" s="19" t="s">
        <v>28</v>
      </c>
      <c r="I16" s="19" t="s">
        <v>12</v>
      </c>
      <c r="J16" s="73" t="s">
        <v>29</v>
      </c>
      <c r="K16" s="72" t="s">
        <v>30</v>
      </c>
      <c r="L16" s="72" t="s">
        <v>26</v>
      </c>
      <c r="M16" s="72" t="s">
        <v>31</v>
      </c>
      <c r="N16" s="110"/>
      <c r="O16" s="110"/>
      <c r="P16" s="110"/>
      <c r="Q16" s="110"/>
    </row>
    <row r="17" spans="1:65" ht="192.75" customHeight="1" x14ac:dyDescent="0.25">
      <c r="A17" s="22" t="str">
        <f>[6]IdentRiesgo!A6</f>
        <v>1.- Funcionarios predispuestos a la materialización de conductas de corrupción. 
2.- La no aplicación de los Procesos y Procedimientos de Atención al Ciudadano.</v>
      </c>
      <c r="B17" s="22" t="str">
        <f>[6]IdentRiesgo!B6</f>
        <v>Solicitar o aceptar pagos o cualquier otra clase de beneficio.</v>
      </c>
      <c r="C17" s="22" t="str">
        <f>[6]IdentRiesgo!D6</f>
        <v>Tutelas, Demandas Adminitrativas, Responsabilidad Penal y Disciplinaria y pérdida de la credibilidad.</v>
      </c>
      <c r="D17" s="23">
        <f>IF([6]AnálisisRiesgo!B9&gt;0,5,IF([6]AnálisisRiesgo!C9&gt;0,4,IF([6]AnálisisRiesgo!D9&gt;0,3,IF([6]AnálisisRiesgo!E9&gt;0,2,IF([6]AnálisisRiesgo!F9&gt;0,1,"")))))</f>
        <v>1</v>
      </c>
      <c r="E17" s="23">
        <f>IF([6]AnálisisRiesgo!G9&gt;0,5,IF([6]AnálisisRiesgo!H9&gt;0,4,IF([6]AnálisisRiesgo!I9&gt;0,3,IF([6]AnálisisRiesgo!J9&gt;0,2,IF([6]AnálisisRiesgo!K9&gt;0,1,IF([6]AnálisisRiesgo!L9&gt;0,20,IF([6]AnálisisRiesgo!M9&gt;0,10,IF([6]AnálisisRiesgo!N9&gt;0,5,""))))))))</f>
        <v>20</v>
      </c>
      <c r="F17" s="23" t="str">
        <f>CONCATENATE(S17,T17,U17,V17,W17)</f>
        <v xml:space="preserve">M    </v>
      </c>
      <c r="G17" s="23" t="s">
        <v>110</v>
      </c>
      <c r="H17" s="25"/>
      <c r="I17" s="26" t="s">
        <v>83</v>
      </c>
      <c r="J17" s="23" t="str">
        <f>CONCATENATE(Z17,AA17,AB17,AC17,AD17,AF17,AG17,AH17,AI17,AJ17,AM17,AN17,AO17,AP17,AQ17,AU17,AV17,AW17,AX17,AY17,BB17,BC17,BD17,BE17,BF17,BI17,BJ17,BK17,BL17,BM17)</f>
        <v xml:space="preserve">               B              </v>
      </c>
      <c r="K17" s="23" t="s">
        <v>99</v>
      </c>
      <c r="L17" s="23" t="s">
        <v>108</v>
      </c>
      <c r="M17" s="23" t="s">
        <v>109</v>
      </c>
      <c r="N17" s="27"/>
      <c r="O17" s="27"/>
      <c r="P17" s="27"/>
      <c r="Q17" s="29"/>
      <c r="S17" s="29" t="str">
        <f>IF(AND(D17=1,E17=5),$E$25,IF(AND(D17=1,E17=10),$F$25,IF(AND(D17=1,E17=20),$G$25," ")))</f>
        <v>M</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IF(AND(H17&gt;0,'[6]EvaluaciónRiesgoCorrup 1'!$F$11&gt;75,D17=1,E17=5),$E$25,IF(AND(H17&gt;0,'[6]EvaluaciónRiesgoCorrup 1'!$F$11&gt;75,D17=1,E17=10),$F$25,IF(AND(H17&gt;0,'[6]EvaluaciónRiesgoCorrup 1'!$F$11&gt;75,D17=1,E17=20),$G$25," ")))</f>
        <v xml:space="preserve"> </v>
      </c>
      <c r="AA17" s="29" t="str">
        <f>IF(AND(H17&gt;0,'[6]EvaluaciónRiesgoCorrup 1'!$F$11&gt;75,D17=2,E17=5),$E$25,IF(AND(H17&gt;0,'[6]EvaluaciónRiesgoCorrup 1'!$F$11&gt;75,D17=2,E17=10),$F$25,IF(AND(H17&gt;0,'[6]EvaluaciónRiesgoCorrup 1'!$F$11&gt;75,D17=2,E17=20),$G$25," ")))</f>
        <v xml:space="preserve"> </v>
      </c>
      <c r="AB17" s="29" t="str">
        <f>IF(AND(H17&gt;0,'[6]EvaluaciónRiesgoCorrup 1'!$F$11&gt;75,D17=3,E17=5),$E$25,IF(AND(H17&gt;0,'[6]EvaluaciónRiesgoCorrup 1'!$F$11&gt;75,D17=3,E17=10),$F$25,IF(AND(H17&gt;0,'[6]EvaluaciónRiesgoCorrup 1'!$F$11&gt;75,D17=3,E17=20),$G$25," ")))</f>
        <v xml:space="preserve"> </v>
      </c>
      <c r="AC17" s="29" t="str">
        <f>IF(AND(H17&gt;0,'[6]EvaluaciónRiesgoCorrup 1'!$F$11&gt;75,D17=4,E17=5),$E$26,IF(AND(H17&gt;0,'[6]EvaluaciónRiesgoCorrup 1'!$F$11&gt;75,D17=4,E17=10),$F$26,IF(AND(H17&gt;0,'[6]EvaluaciónRiesgoCorrup 1'!$F$11&gt;75,D17=4,E17=20),$G$26," ")))</f>
        <v xml:space="preserve"> </v>
      </c>
      <c r="AD17" s="29" t="str">
        <f>IF(AND(H17&gt;0,'[6]EvaluaciónRiesgoCorrup 1'!$F$11&gt;75,D17=5,E17=5),$E$27,IF(AND(H17&gt;0,'[6]EvaluaciónRiesgoCorrup 1'!$F$11&gt;75,D17=5,E17=10),$F$27,IF(AND(H17&gt;0,'[6]EvaluaciónRiesgoCorrup 1'!$F$11&gt;75,D17=5,E17=20),$G$27," ")))</f>
        <v xml:space="preserve"> </v>
      </c>
      <c r="AE17" s="30" t="s">
        <v>36</v>
      </c>
      <c r="AF17" s="29" t="str">
        <f>IF(AND(H17&gt;0,'[6]EvaluaciónRiesgoCorrup 1'!$F$11&gt;50,'[6]EvaluaciónRiesgoCorrup 1'!$F$11&lt;76,D17=1,E17=5),$E$25,IF(AND(H17&gt;0,'[6]EvaluaciónRiesgoCorrup 1'!$F$11&gt;50,'[6]EvaluaciónRiesgoCorrup 1'!$F$11&lt;76,D17=1,E17=10),$F$25,IF(AND(H17&gt;0,'[6]EvaluaciónRiesgoCorrup 1'!$F$11&gt;50,'[6]EvaluaciónRiesgoCorrup 1'!$F$11&lt;76,D17=1,E17=20),$G$25," ")))</f>
        <v xml:space="preserve"> </v>
      </c>
      <c r="AG17" s="29" t="str">
        <f>IF(AND(H17&gt;0,'[6]EvaluaciónRiesgoCorrup 1'!$F$11&gt;50,'[6]EvaluaciónRiesgoCorrup 1'!$F$11&lt;76,D17=2,E17=5),$E$25,IF(AND(H17&gt;0,'[6]EvaluaciónRiesgoCorrup 1'!$F$11&gt;50,'[6]EvaluaciónRiesgoCorrup 1'!$F$11&lt;76,D17=2,E17=10),$F$25,IF(AND(H17&gt;0,'[6]EvaluaciónRiesgoCorrup 1'!$F$11&gt;50,'[6]EvaluaciónRiesgoCorrup 1'!$F$11&lt;76,D17=2,E17=20),$G$25," ")))</f>
        <v xml:space="preserve"> </v>
      </c>
      <c r="AH17" s="29" t="str">
        <f>IF(AND(H17&gt;0,'[6]EvaluaciónRiesgoCorrup 1'!$F$11&gt;50,'[6]EvaluaciónRiesgoCorrup 1'!$F$11&lt;76,D17=3,E17=5),$E$26,IF(AND(H17&gt;0,'[6]EvaluaciónRiesgoCorrup 1'!$F$11&gt;50,'[6]EvaluaciónRiesgoCorrup 1'!$F$11&lt;76,D17=3,E17=10),$F$26,IF(AND(H17&gt;0,'[6]EvaluaciónRiesgoCorrup 1'!$F$11&gt;50,'[6]EvaluaciónRiesgoCorrup 1'!$F$11&lt;76,D17=3,E17=20),$G$26," ")))</f>
        <v xml:space="preserve"> </v>
      </c>
      <c r="AI17" s="29" t="str">
        <f>IF(AND(H17&gt;0,'[6]EvaluaciónRiesgoCorrup 1'!$F$11&gt;50,'[6]EvaluaciónRiesgoCorrup 1'!$F$11&lt;76,D17=4,E17=5),$E$27,IF(AND(H17&gt;0,'[6]EvaluaciónRiesgoCorrup 1'!$F$11&gt;50,'[6]EvaluaciónRiesgoCorrup 1'!$F$11&lt;76,D17=4,E17=10),$F$27,IF(AND(H17&gt;0,'[6]EvaluaciónRiesgoCorrup 1'!$F$11&gt;50,'[6]EvaluaciónRiesgoCorrup 1'!$F$11&lt;76,D17=4,E17=20),$G$27," ")))</f>
        <v xml:space="preserve"> </v>
      </c>
      <c r="AJ17" s="29" t="str">
        <f>IF(AND(H17&gt;0,'[6]EvaluaciónRiesgoCorrup 1'!$F$11&gt;50,'[6]EvaluaciónRiesgoCorrup 1'!$F$11&lt;76,D17=5,E17=5),$E$28,IF(AND(H17&gt;0,'[6]EvaluaciónRiesgoCorrup 1'!$F$11&gt;50,'[6]EvaluaciónRiesgoCorrup 1'!$F$11&lt;76,D17=5,E17=10),$F$28,IF(AND(H17&gt;0,'[6]EvaluaciónRiesgoCorrup 1'!$F$11&gt;50,'[6]EvaluaciónRiesgoCorrup 1'!$F$11&lt;76,D17=5,E17=20),$G$28," ")))</f>
        <v xml:space="preserve"> </v>
      </c>
      <c r="AL17" s="30" t="s">
        <v>37</v>
      </c>
      <c r="AM17" s="29" t="str">
        <f>IF(AND(H17&gt;0,'[6]EvaluaciónRiesgoCorrup 1'!$F$11&lt;51,D17=1,E17=5),$E$25,IF(AND(H17&gt;0,'[6]EvaluaciónRiesgoCorrup 1'!$F$11&lt;51,D17=1,E17=10),$F$25,IF(AND(H17&gt;0,'[6]EvaluaciónRiesgoCorrup 1'!$F$11&lt;51,D17=1,E17=20),G$25," ")))</f>
        <v xml:space="preserve"> </v>
      </c>
      <c r="AN17" s="29" t="str">
        <f>IF(AND(H17&gt;0,'[6]EvaluaciónRiesgoCorrup 1'!$F$11&lt;51,D17=2,E17=5),$E$26,IF(AND(H17&gt;0,'[6]EvaluaciónRiesgoCorrup 1'!$F$11&lt;51,D17=2,E17=10),$F$26,IF(AND(H17&gt;0,'[6]EvaluaciónRiesgoCorrup 1'!$F$11&lt;51,D17=2,E17=20),G$26," ")))</f>
        <v xml:space="preserve"> </v>
      </c>
      <c r="AO17" s="29" t="str">
        <f>IF(AND(H17&gt;0,'[6]EvaluaciónRiesgoCorrup 1'!$F$11&lt;51,D17=3,E17=5),$E$27,IF(AND(H17&gt;0,'[6]EvaluaciónRiesgoCorrup 1'!$F$11&lt;51,D17=3,E17=10),$F$27,IF(AND(H17&gt;0,'[6]EvaluaciónRiesgoCorrup 1'!$F$11&lt;51,D17=3,E17=20),G$27," ")))</f>
        <v xml:space="preserve"> </v>
      </c>
      <c r="AP17" s="29" t="str">
        <f>IF(AND(H17&gt;0,'[6]EvaluaciónRiesgoCorrup 1'!$F$11&lt;51,D17=4,E17=5),$E$28,IF(AND(H17&gt;0,'[6]EvaluaciónRiesgoCorrup 1'!$F$11&lt;51,D17=4,E17=10),$F$28,IF(AND(H17&gt;0,'[6]EvaluaciónRiesgoCorrup 1'!$F$11&lt;51,D17=4,E17=20),G$28," ")))</f>
        <v xml:space="preserve"> </v>
      </c>
      <c r="AQ17" s="29" t="str">
        <f>IF(AND(H17&gt;0,'[6]EvaluaciónRiesgoCorrup 1'!$F$11&lt;51,D17=5,E17=5),$E$29,IF(AND(H17&gt;0,'[6]EvaluaciónRiesgoCorrup 1'!$F$11&lt;51,D17=5,E17=10),$F$29,IF(AND(H17&gt;0,'[6]EvaluaciónRiesgoCorrup 1'!$F$11&lt;51,D17=5,E17=20),G$29," ")))</f>
        <v xml:space="preserve"> </v>
      </c>
      <c r="AT17" s="30" t="s">
        <v>35</v>
      </c>
      <c r="AU17" s="29" t="str">
        <f>IF(AND(I17&gt;0,'[6]EvaluaciónRiesgoCorrup 1'!$F$11&gt;75,D17=1,E17=5),$E$25,IF(AND(I17&gt;0,'[6]EvaluaciónRiesgoCorrup 1'!$F$11&gt;75,D17=1,E17=10),$E$25,IF(AND(I17&gt;0,'[6]EvaluaciónRiesgoCorrup 1'!$F$11&gt;75,D17=1,E17=20),$E$25," ")))</f>
        <v>B</v>
      </c>
      <c r="AV17" s="29" t="str">
        <f>IF(AND(I17&gt;0,'[6]EvaluaciónRiesgoCorrup 1'!$F$11&gt;75,D17=2,E17=5),$E$26,IF(AND(I17&gt;0,'[6]EvaluaciónRiesgoCorrup 1'!$F$11&gt;75,D17=2,E17=10),$E$26,IF(AND(I17&gt;0,'[6]EvaluaciónRiesgoCorrup 1'!$F$11&gt;75,D17=2,E17=20),$E$26," ")))</f>
        <v xml:space="preserve"> </v>
      </c>
      <c r="AW17" s="29" t="str">
        <f>IF(AND(I17&gt;0,'[6]EvaluaciónRiesgoCorrup 1'!$F$11&gt;75,D17=3,E17=5),$E$27,IF(AND(I17&gt;0,'[6]EvaluaciónRiesgoCorrup 1'!$F$11&gt;75,D17=3,E17=10),$E$27,IF(AND(I17&gt;0,'[6]EvaluaciónRiesgoCorrup 1'!$F$11&gt;75,D17=3,E17=20),$E$27," ")))</f>
        <v xml:space="preserve"> </v>
      </c>
      <c r="AX17" s="29" t="str">
        <f>IF(AND(I17&gt;0,'[6]EvaluaciónRiesgoCorrup 1'!$F$11&gt;75,D17=4,E17=5),$E$28,IF(AND(I17&gt;0,'[6]EvaluaciónRiesgoCorrup 1'!$F$11&gt;75,D17=4,E17=10),$E$28,IF(AND(I17&gt;0,'[6]EvaluaciónRiesgoCorrup 1'!$F$11&gt;75,D17=4,E17=20),$E$28," ")))</f>
        <v xml:space="preserve"> </v>
      </c>
      <c r="AY17" s="29" t="str">
        <f>IF(AND(I17&gt;0,'[6]EvaluaciónRiesgoCorrup 1'!$F$11&gt;75,D17=5,E17=5),$E$29,IF(AND(I17&gt;0,'[6]EvaluaciónRiesgoCorrup 1'!$F$11&gt;75,D17=5,E17=10),$E$29,IF(AND(I17&gt;0,'[6]EvaluaciónRiesgoCorrup 1'!$F$11&gt;75,D17=5,E17=20),$E$29," ")))</f>
        <v xml:space="preserve"> </v>
      </c>
      <c r="BA17" s="30" t="s">
        <v>36</v>
      </c>
      <c r="BB17" s="29" t="str">
        <f>IF(AND(I17&gt;0,'[6]EvaluaciónRiesgoCorrup 1'!$F$11&gt;50,'[6]EvaluaciónRiesgoCorrup 1'!$F$11&lt;76,D17=1,E17=5),$E$25,IF(AND(I17&gt;0,'[6]EvaluaciónRiesgoCorrup 1'!$F$11&gt;50,'[6]EvaluaciónRiesgoCorrup 1'!$F$11&lt;76,D17=1,E17=10),$E$25,IF(AND(I17&gt;0,'[6]EvaluaciónRiesgoCorrup 1'!$F$11&gt;50,'[6]EvaluaciónRiesgoCorrup 1'!$F$11&lt;76,D17=1,E17=20),$F$25," ")))</f>
        <v xml:space="preserve"> </v>
      </c>
      <c r="BC17" s="29" t="str">
        <f>IF(AND(I17&gt;0,'[6]EvaluaciónRiesgoCorrup 1'!$F$11&gt;50,'[6]EvaluaciónRiesgoCorrup 1'!$F$11&lt;76,D17=2,E17=5),$E$26,IF(AND(I17&gt;0,'[6]EvaluaciónRiesgoCorrup 1'!$F$11&gt;50,'[6]EvaluaciónRiesgoCorrup 1'!$F$11&lt;76,D17=2,E17=10),$E$26,IF(AND(I17&gt;0,'[6]EvaluaciónRiesgoCorrup 1'!$F$11&gt;50,'[6]EvaluaciónRiesgoCorrup 1'!$F$11&lt;76,D17=2,E17=20),$F$26," ")))</f>
        <v xml:space="preserve"> </v>
      </c>
      <c r="BD17" s="29" t="str">
        <f>IF(AND(I17&gt;0,'[6]EvaluaciónRiesgoCorrup 1'!$F$11&gt;50,'[6]EvaluaciónRiesgoCorrup 1'!$F$11&lt;76,D17=3,E17=5),$E$27,IF(AND(I17&gt;0,'[6]EvaluaciónRiesgoCorrup 1'!$F$11&gt;50,'[6]EvaluaciónRiesgoCorrup 1'!$F$11&lt;76,D17=3,E17=10),$E$27,IF(AND(I17&gt;0,'[6]EvaluaciónRiesgoCorrup 1'!$F$11&gt;50,'[6]EvaluaciónRiesgoCorrup 1'!$F$11&lt;76,D17=3,E17=20),$F$27," ")))</f>
        <v xml:space="preserve"> </v>
      </c>
      <c r="BE17" s="29" t="str">
        <f>IF(AND(I17&gt;0,'[6]EvaluaciónRiesgoCorrup 1'!$F$11&gt;50,'[6]EvaluaciónRiesgoCorrup 1'!$F$11&lt;76,D17=4,E17=5),$E$28,IF(AND(I17&gt;0,'[6]EvaluaciónRiesgoCorrup 1'!$F$11&gt;50,'[6]EvaluaciónRiesgoCorrup 1'!$F$11&lt;76,D17=4,E17=10),$E$28,IF(AND(I17&gt;0,'[6]EvaluaciónRiesgoCorrup 1'!$F$11&gt;50,'[6]EvaluaciónRiesgoCorrup 1'!$F$11&lt;76,D17=4,E17=20),$F$28," ")))</f>
        <v xml:space="preserve"> </v>
      </c>
      <c r="BF17" s="29" t="str">
        <f>IF(AND(I17&gt;0,'[6]EvaluaciónRiesgoCorrup 1'!$F$11&gt;50,'[6]EvaluaciónRiesgoCorrup 1'!$F$11&lt;76,D17=5,E17=5),$E$29,IF(AND(I17&gt;0,'[6]EvaluaciónRiesgoCorrup 1'!$F$11&gt;50,'[6]EvaluaciónRiesgoCorrup 1'!$F$11&lt;76,D17=5,E17=10),$E$29,IF(AND(I17&gt;0,'[6]EvaluaciónRiesgoCorrup 1'!$F$11&gt;50,'[6]EvaluaciónRiesgoCorrup 1'!$F$11&lt;76,D17=5,E17=20),$F$29," ")))</f>
        <v xml:space="preserve"> </v>
      </c>
      <c r="BH17" s="30" t="s">
        <v>37</v>
      </c>
      <c r="BI17" s="29" t="str">
        <f>IF(AND(I17&gt;0,'[6]EvaluaciónRiesgoCorrup 1'!$F$11&lt;51,D17=1,E17=5),$E$25,IF(AND(I17&gt;0,'[6]EvaluaciónRiesgoCorrup 1'!$F$11&lt;51,D17=1,E17=10),$F$25,IF(AND(I17&gt;0,'[6]EvaluaciónRiesgoCorrup 1'!$F$11&lt;51,D17=1,E17=20),$G$25," ")))</f>
        <v xml:space="preserve"> </v>
      </c>
      <c r="BJ17" s="29" t="str">
        <f>IF(AND(I17&gt;0,'[6]EvaluaciónRiesgoCorrup 1'!$F$11&lt;51,D17=2,E17=5),$E$26,IF(AND(I17&gt;0,'[6]EvaluaciónRiesgoCorrup 1'!$F$11&lt;51,D17=2,E17=10),$F$26,IF(AND(I17&gt;0,'[6]EvaluaciónRiesgoCorrup 1'!$F$11&lt;51,D17=2,E17=20),$G$26," ")))</f>
        <v xml:space="preserve"> </v>
      </c>
      <c r="BK17" s="29" t="str">
        <f>IF(AND(I17&gt;0,'[6]EvaluaciónRiesgoCorrup 1'!$F$11&lt;51,D17=3,E17=5),$E$27,IF(AND(I17&gt;0,'[6]EvaluaciónRiesgoCorrup 1'!$F$11&lt;51,D17=3,E17=10),$F$27,IF(AND(I17&gt;0,'[6]EvaluaciónRiesgoCorrup 1'!$F$11&lt;51,D17=3,E17=20),$G$27," ")))</f>
        <v xml:space="preserve"> </v>
      </c>
      <c r="BL17" s="29" t="str">
        <f>IF(AND(I17&gt;0,'[6]EvaluaciónRiesgoCorrup 1'!$F$11&lt;51,D17=4,E17=5),$E$28,IF(AND(I17&gt;0,'[6]EvaluaciónRiesgoCorrup 1'!$F$11&lt;51,D17=4,E17=10),$F$28,IF(AND(I17&gt;0,'[6]EvaluaciónRiesgoCorrup 1'!$F$11&lt;51,D17=4,E17=20),$G$28," ")))</f>
        <v xml:space="preserve"> </v>
      </c>
      <c r="BM17" s="29" t="str">
        <f>IF(AND(I17&gt;0,'[6]EvaluaciónRiesgoCorrup 1'!$F$11&lt;51,D17=5,E17=5),$E$29,IF(AND(I17&gt;0,'[6]EvaluaciónRiesgoCorrup 1'!$F$11&lt;51,D17=5,E17=10),$F$29,IF(AND(I17&gt;0,'[6]EvaluaciónRiesgoCorrup 1'!$F$11&lt;51,D17=5,E17=20),$G$29," ")))</f>
        <v xml:space="preserve"> </v>
      </c>
    </row>
    <row r="18" spans="1:65" ht="212.25" customHeight="1" x14ac:dyDescent="0.25">
      <c r="A18" s="22">
        <f>[6]IdentRiesgo!A7</f>
        <v>0</v>
      </c>
      <c r="B18" s="22">
        <f>[6]IdentRiesgo!B7</f>
        <v>0</v>
      </c>
      <c r="C18" s="22">
        <f>[6]IdentRiesgo!D7</f>
        <v>0</v>
      </c>
      <c r="D18" s="23" t="str">
        <f>IF([6]AnálisisRiesgo!B10&gt;0,5,IF([6]AnálisisRiesgo!C10&gt;0,4,IF([6]AnálisisRiesgo!D10&gt;0,3,IF([6]AnálisisRiesgo!E10&gt;0,2,IF([6]AnálisisRiesgo!F10&gt;0,1,"")))))</f>
        <v/>
      </c>
      <c r="E18" s="23" t="str">
        <f>IF([6]AnálisisRiesgo!G10&gt;0,5,IF([6]AnálisisRiesgo!H10&gt;0,4,IF([6]AnálisisRiesgo!I10&gt;0,3,IF([6]AnálisisRiesgo!J10&gt;0,2,IF([6]AnálisisRiesgo!K10&gt;0,1,IF([6]AnálisisRiesgo!L10&gt;0,20,IF([6]AnálisisRiesgo!M10&gt;0,10,IF([6]AnálisisRiesgo!N10&gt;0,5,""))))))))</f>
        <v/>
      </c>
      <c r="F18" s="23" t="str">
        <f>CONCATENATE(S18,T18,U18,V18,W18)</f>
        <v xml:space="preserve">     </v>
      </c>
      <c r="G18" s="23"/>
      <c r="H18" s="25"/>
      <c r="I18" s="26"/>
      <c r="J18" s="23" t="str">
        <f>CONCATENATE(Z18,AA18,AB18,AC18,AD18,AF18,AG18,AH18,AI18,AJ18,AM18,AN18,AO18,AP18,AQ18,AU18,AV18,AW18,AX18,AY18,BB18,BC18,BD18,BE18,BF18,BI18,BJ18,BK18,BL18,BM18)</f>
        <v xml:space="preserve">                              </v>
      </c>
      <c r="K18" s="23"/>
      <c r="L18" s="23"/>
      <c r="M18" s="23"/>
      <c r="N18" s="27"/>
      <c r="O18" s="27"/>
      <c r="P18" s="27"/>
      <c r="Q18" s="29"/>
      <c r="S18" s="29" t="str">
        <f>IF(AND(D18=1,E18=5),$E$25,IF(AND(D18=1,E18=10),$F$25,IF(AND(D18=1,E18=20),$G$25," ")))</f>
        <v xml:space="preserve"> </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IF(AND(H18&gt;0,'[6]EvaluaciónRiesgoCorrup 1'!$F$11&gt;75,D18=1,E18=5),$E$25,IF(AND(H18&gt;0,'[6]EvaluaciónRiesgoCorrup 1'!$F$11&gt;75,D18=1,E18=10),$F$25,IF(AND(H18&gt;0,'[6]EvaluaciónRiesgoCorrup 1'!$F$11&gt;75,D18=1,E18=20),$G$25," ")))</f>
        <v xml:space="preserve"> </v>
      </c>
      <c r="AA18" s="29" t="str">
        <f>IF(AND(H18&gt;0,'[6]EvaluaciónRiesgoCorrup 1'!$F$11&gt;75,D18=2,E18=5),$E$25,IF(AND(H18&gt;0,'[6]EvaluaciónRiesgoCorrup 1'!$F$11&gt;75,D18=2,E18=10),$F$25,IF(AND(H18&gt;0,'[6]EvaluaciónRiesgoCorrup 1'!$F$11&gt;75,D18=2,E18=20),$G$25," ")))</f>
        <v xml:space="preserve"> </v>
      </c>
      <c r="AB18" s="29" t="str">
        <f>IF(AND(H18&gt;0,'[6]EvaluaciónRiesgoCorrup 1'!$F$11&gt;75,D18=3,E18=5),$E$25,IF(AND(H18&gt;0,'[6]EvaluaciónRiesgoCorrup 1'!$F$11&gt;75,D18=3,E18=10),$F$25,IF(AND(H18&gt;0,'[6]EvaluaciónRiesgoCorrup 1'!$F$11&gt;75,D18=3,E18=20),$G$25," ")))</f>
        <v xml:space="preserve"> </v>
      </c>
      <c r="AC18" s="29" t="str">
        <f>IF(AND(H18&gt;0,'[6]EvaluaciónRiesgoCorrup 1'!$F$11&gt;75,D18=4,E18=5),$E$26,IF(AND(H18&gt;0,'[6]EvaluaciónRiesgoCorrup 1'!$F$11&gt;75,D18=4,E18=10),$F$26,IF(AND(H18&gt;0,'[6]EvaluaciónRiesgoCorrup 1'!$F$11&gt;75,D18=4,E18=20),$G$26," ")))</f>
        <v xml:space="preserve"> </v>
      </c>
      <c r="AD18" s="29" t="str">
        <f>IF(AND(H18&gt;0,'[6]EvaluaciónRiesgoCorrup 1'!$F$11&gt;75,D18=5,E18=5),$E$27,IF(AND(H18&gt;0,'[6]EvaluaciónRiesgoCorrup 1'!$F$11&gt;75,D18=5,E18=10),$F$27,IF(AND(H18&gt;0,'[6]EvaluaciónRiesgoCorrup 1'!$F$11&gt;75,D18=5,E18=20),$G$27," ")))</f>
        <v xml:space="preserve"> </v>
      </c>
      <c r="AF18" s="29" t="str">
        <f>IF(AND(H18&gt;0,'[6]EvaluaciónRiesgoCorrup 1'!$F$11&gt;50,'[6]EvaluaciónRiesgoCorrup 1'!$F$11&lt;76,D18=1,E18=5),$E$25,IF(AND(H18&gt;0,'[6]EvaluaciónRiesgoCorrup 1'!$F$11&gt;50,'[6]EvaluaciónRiesgoCorrup 1'!$F$11&lt;76,D18=1,E18=10),$F$25,IF(AND(H18&gt;0,'[6]EvaluaciónRiesgoCorrup 1'!$F$11&gt;50,'[6]EvaluaciónRiesgoCorrup 1'!$F$11&lt;76,D18=1,E18=20),$G$25," ")))</f>
        <v xml:space="preserve"> </v>
      </c>
      <c r="AG18" s="29" t="str">
        <f>IF(AND(H18&gt;0,'[6]EvaluaciónRiesgoCorrup 1'!$F$11&gt;50,'[6]EvaluaciónRiesgoCorrup 1'!$F$11&lt;76,D18=2,E18=5),$E$25,IF(AND(H18&gt;0,'[6]EvaluaciónRiesgoCorrup 1'!$F$11&gt;50,'[6]EvaluaciónRiesgoCorrup 1'!$F$11&lt;76,D18=2,E18=10),$F$25,IF(AND(H18&gt;0,'[6]EvaluaciónRiesgoCorrup 1'!$F$11&gt;50,'[6]EvaluaciónRiesgoCorrup 1'!$F$11&lt;76,D18=2,E18=20),$G$25," ")))</f>
        <v xml:space="preserve"> </v>
      </c>
      <c r="AH18" s="29" t="str">
        <f>IF(AND(H18&gt;0,'[6]EvaluaciónRiesgoCorrup 1'!$F$11&gt;50,'[6]EvaluaciónRiesgoCorrup 1'!$F$11&lt;76,D18=3,E18=5),$E$26,IF(AND(H18&gt;0,'[6]EvaluaciónRiesgoCorrup 1'!$F$11&gt;50,'[6]EvaluaciónRiesgoCorrup 1'!$F$11&lt;76,D18=3,E18=10),$F$26,IF(AND(H18&gt;0,'[6]EvaluaciónRiesgoCorrup 1'!$F$11&gt;50,'[6]EvaluaciónRiesgoCorrup 1'!$F$11&lt;76,D18=3,E18=20),$G$26," ")))</f>
        <v xml:space="preserve"> </v>
      </c>
      <c r="AI18" s="29" t="str">
        <f>IF(AND(H18&gt;0,'[6]EvaluaciónRiesgoCorrup 1'!$F$11&gt;50,'[6]EvaluaciónRiesgoCorrup 1'!$F$11&lt;76,D18=4,E18=5),$E$27,IF(AND(H18&gt;0,'[6]EvaluaciónRiesgoCorrup 1'!$F$11&gt;50,'[6]EvaluaciónRiesgoCorrup 1'!$F$11&lt;76,D18=4,E18=10),$F$27,IF(AND(H18&gt;0,'[6]EvaluaciónRiesgoCorrup 1'!$F$11&gt;50,'[6]EvaluaciónRiesgoCorrup 1'!$F$11&lt;76,D18=4,E18=20),$G$27," ")))</f>
        <v xml:space="preserve"> </v>
      </c>
      <c r="AJ18" s="29" t="str">
        <f>IF(AND(H18&gt;0,'[6]EvaluaciónRiesgoCorrup 1'!$F$11&gt;50,'[6]EvaluaciónRiesgoCorrup 1'!$F$11&lt;76,D18=5,E18=5),$E$28,IF(AND(H18&gt;0,'[6]EvaluaciónRiesgoCorrup 1'!$F$11&gt;50,'[6]EvaluaciónRiesgoCorrup 1'!$F$11&lt;76,D18=5,E18=10),$F$28,IF(AND(H18&gt;0,'[6]EvaluaciónRiesgoCorrup 1'!$F$11&gt;50,'[6]EvaluaciónRiesgoCorrup 1'!$F$11&lt;76,D18=5,E18=20),$G$28," ")))</f>
        <v xml:space="preserve"> </v>
      </c>
      <c r="AM18" s="29" t="str">
        <f>IF(AND(H18&gt;0,'[6]EvaluaciónRiesgoCorrup 1'!$F$11&lt;51,D18=1,E18=5),$E$25,IF(AND(H18&gt;0,'[6]EvaluaciónRiesgoCorrup 1'!$F$11&lt;51,D18=1,E18=10),$F$25,IF(AND(H18&gt;0,'[6]EvaluaciónRiesgoCorrup 1'!$F$11&lt;51,D18=1,E18=20),G$25," ")))</f>
        <v xml:space="preserve"> </v>
      </c>
      <c r="AN18" s="29" t="str">
        <f>IF(AND(H18&gt;0,'[6]EvaluaciónRiesgoCorrup 1'!$F$11&lt;51,D18=2,E18=5),$E$26,IF(AND(H18&gt;0,'[6]EvaluaciónRiesgoCorrup 1'!$F$11&lt;51,D18=2,E18=10),$F$26,IF(AND(H18&gt;0,'[6]EvaluaciónRiesgoCorrup 1'!$F$11&lt;51,D18=2,E18=20),G$26," ")))</f>
        <v xml:space="preserve"> </v>
      </c>
      <c r="AO18" s="29" t="str">
        <f>IF(AND(H18&gt;0,'[6]EvaluaciónRiesgoCorrup 1'!$F$11&lt;51,D18=3,E18=5),$E$27,IF(AND(H18&gt;0,'[6]EvaluaciónRiesgoCorrup 1'!$F$11&lt;51,D18=3,E18=10),$F$27,IF(AND(H18&gt;0,'[6]EvaluaciónRiesgoCorrup 1'!$F$11&lt;51,D18=3,E18=20),G$27," ")))</f>
        <v xml:space="preserve"> </v>
      </c>
      <c r="AP18" s="29" t="str">
        <f>IF(AND(H18&gt;0,'[6]EvaluaciónRiesgoCorrup 1'!$F$11&lt;51,D18=4,E18=5),$E$28,IF(AND(H18&gt;0,'[6]EvaluaciónRiesgoCorrup 1'!$F$11&lt;51,D18=4,E18=10),$F$28,IF(AND(H18&gt;0,'[6]EvaluaciónRiesgoCorrup 1'!$F$11&lt;51,D18=4,E18=20),G$28," ")))</f>
        <v xml:space="preserve"> </v>
      </c>
      <c r="AQ18" s="29" t="str">
        <f>IF(AND(H18&gt;0,'[6]EvaluaciónRiesgoCorrup 1'!$F$11&lt;51,D18=5,E18=5),$E$29,IF(AND(H18&gt;0,'[6]EvaluaciónRiesgoCorrup 1'!$F$11&lt;51,D18=5,E18=10),$F$29,IF(AND(H18&gt;0,'[6]EvaluaciónRiesgoCorrup 1'!$F$11&lt;51,D18=5,E18=20),G$29," ")))</f>
        <v xml:space="preserve"> </v>
      </c>
      <c r="AU18" s="29" t="str">
        <f>IF(AND(I18&gt;0,'[6]EvaluaciónRiesgoCorrup 1'!$F$11&gt;75,D18=1,E18=5),$E$25,IF(AND(I18&gt;0,'[6]EvaluaciónRiesgoCorrup 1'!$F$11&gt;75,D18=1,E18=10),$E$25,IF(AND(I18&gt;0,'[6]EvaluaciónRiesgoCorrup 1'!$F$11&gt;75,D18=1,E18=20),$E$25," ")))</f>
        <v xml:space="preserve"> </v>
      </c>
      <c r="AV18" s="29" t="str">
        <f>IF(AND(I18&gt;0,'[6]EvaluaciónRiesgoCorrup 1'!$F$11&gt;75,D18=2,E18=5),$E$26,IF(AND(I18&gt;0,'[6]EvaluaciónRiesgoCorrup 1'!$F$11&gt;75,D18=2,E18=10),$E$26,IF(AND(I18&gt;0,'[6]EvaluaciónRiesgoCorrup 1'!$F$11&gt;75,D18=2,E18=20),$E$26," ")))</f>
        <v xml:space="preserve"> </v>
      </c>
      <c r="AW18" s="29" t="str">
        <f>IF(AND(I18&gt;0,'[6]EvaluaciónRiesgoCorrup 1'!$F$11&gt;75,D18=3,E18=5),$E$27,IF(AND(I18&gt;0,'[6]EvaluaciónRiesgoCorrup 1'!$F$11&gt;75,D18=3,E18=10),$E$27,IF(AND(I18&gt;0,'[6]EvaluaciónRiesgoCorrup 1'!$F$11&gt;75,D18=3,E18=20),$E$27," ")))</f>
        <v xml:space="preserve"> </v>
      </c>
      <c r="AX18" s="29" t="str">
        <f>IF(AND(I18&gt;0,'[6]EvaluaciónRiesgoCorrup 1'!$F$11&gt;75,D18=4,E18=5),$E$28,IF(AND(I18&gt;0,'[6]EvaluaciónRiesgoCorrup 1'!$F$11&gt;75,D18=4,E18=10),$E$28,IF(AND(I18&gt;0,'[6]EvaluaciónRiesgoCorrup 1'!$F$11&gt;75,D18=4,E18=20),$E$28," ")))</f>
        <v xml:space="preserve"> </v>
      </c>
      <c r="AY18" s="29" t="str">
        <f>IF(AND(I18&gt;0,'[6]EvaluaciónRiesgoCorrup 1'!$F$11&gt;75,D18=5,E18=5),$E$29,IF(AND(I18&gt;0,'[6]EvaluaciónRiesgoCorrup 1'!$F$11&gt;75,D18=5,E18=10),$E$29,IF(AND(I18&gt;0,'[6]EvaluaciónRiesgoCorrup 1'!$F$11&gt;75,D18=5,E18=20),$E$29," ")))</f>
        <v xml:space="preserve"> </v>
      </c>
      <c r="BB18" s="29" t="str">
        <f>IF(AND(I18&gt;0,'[6]EvaluaciónRiesgoCorrup 1'!$F$11&gt;50,'[6]EvaluaciónRiesgoCorrup 1'!$F$11&lt;76,D18=1,E18=5),$E$25,IF(AND(I18&gt;0,'[6]EvaluaciónRiesgoCorrup 1'!$F$11&gt;50,'[6]EvaluaciónRiesgoCorrup 1'!$F$11&lt;76,D18=1,E18=10),$E$25,IF(AND(I18&gt;0,'[6]EvaluaciónRiesgoCorrup 1'!$F$11&gt;50,'[6]EvaluaciónRiesgoCorrup 1'!$F$11&lt;76,D18=1,E18=20),$F$25," ")))</f>
        <v xml:space="preserve"> </v>
      </c>
      <c r="BC18" s="29" t="str">
        <f>IF(AND(I18&gt;0,'[6]EvaluaciónRiesgoCorrup 1'!$F$11&gt;50,'[6]EvaluaciónRiesgoCorrup 1'!$F$11&lt;76,D18=2,E18=5),$E$26,IF(AND(I18&gt;0,'[6]EvaluaciónRiesgoCorrup 1'!$F$11&gt;50,'[6]EvaluaciónRiesgoCorrup 1'!$F$11&lt;76,D18=2,E18=10),$E$26,IF(AND(I18&gt;0,'[6]EvaluaciónRiesgoCorrup 1'!$F$11&gt;50,'[6]EvaluaciónRiesgoCorrup 1'!$F$11&lt;76,D18=2,E18=20),$F$26," ")))</f>
        <v xml:space="preserve"> </v>
      </c>
      <c r="BD18" s="29" t="str">
        <f>IF(AND(I18&gt;0,'[6]EvaluaciónRiesgoCorrup 1'!$F$11&gt;50,'[6]EvaluaciónRiesgoCorrup 1'!$F$11&lt;76,D18=3,E18=5),$E$27,IF(AND(I18&gt;0,'[6]EvaluaciónRiesgoCorrup 1'!$F$11&gt;50,'[6]EvaluaciónRiesgoCorrup 1'!$F$11&lt;76,D18=3,E18=10),$E$27,IF(AND(I18&gt;0,'[6]EvaluaciónRiesgoCorrup 1'!$F$11&gt;50,'[6]EvaluaciónRiesgoCorrup 1'!$F$11&lt;76,D18=3,E18=20),$F$27," ")))</f>
        <v xml:space="preserve"> </v>
      </c>
      <c r="BE18" s="29" t="str">
        <f>IF(AND(I18&gt;0,'[6]EvaluaciónRiesgoCorrup 1'!$F$11&gt;50,'[6]EvaluaciónRiesgoCorrup 1'!$F$11&lt;76,D18=4,E18=5),$E$28,IF(AND(I18&gt;0,'[6]EvaluaciónRiesgoCorrup 1'!$F$11&gt;50,'[6]EvaluaciónRiesgoCorrup 1'!$F$11&lt;76,D18=4,E18=10),$E$28,IF(AND(I18&gt;0,'[6]EvaluaciónRiesgoCorrup 1'!$F$11&gt;50,'[6]EvaluaciónRiesgoCorrup 1'!$F$11&lt;76,D18=4,E18=20),$F$28," ")))</f>
        <v xml:space="preserve"> </v>
      </c>
      <c r="BF18" s="29" t="str">
        <f>IF(AND(I18&gt;0,'[6]EvaluaciónRiesgoCorrup 1'!$F$11&gt;50,'[6]EvaluaciónRiesgoCorrup 1'!$F$11&lt;76,D18=5,E18=5),$E$29,IF(AND(I18&gt;0,'[6]EvaluaciónRiesgoCorrup 1'!$F$11&gt;50,'[6]EvaluaciónRiesgoCorrup 1'!$F$11&lt;76,D18=5,E18=10),$E$29,IF(AND(I18&gt;0,'[6]EvaluaciónRiesgoCorrup 1'!$F$11&gt;50,'[6]EvaluaciónRiesgoCorrup 1'!$F$11&lt;76,D18=5,E18=20),$F$29," ")))</f>
        <v xml:space="preserve"> </v>
      </c>
      <c r="BI18" s="29" t="str">
        <f>IF(AND(I18&gt;0,'[6]EvaluaciónRiesgoCorrup 1'!$F$11&lt;51,D18=1,E18=5),$E$25,IF(AND(I18&gt;0,'[6]EvaluaciónRiesgoCorrup 1'!$F$11&lt;51,D18=1,E18=10),$F$25,IF(AND(I18&gt;0,'[6]EvaluaciónRiesgoCorrup 1'!$F$11&lt;51,D18=1,E18=20),$G$25," ")))</f>
        <v xml:space="preserve"> </v>
      </c>
      <c r="BJ18" s="29" t="str">
        <f>IF(AND(I18&gt;0,'[6]EvaluaciónRiesgoCorrup 1'!$F$11&lt;51,D18=2,E18=5),$E$26,IF(AND(I18&gt;0,'[6]EvaluaciónRiesgoCorrup 1'!$F$11&lt;51,D18=2,E18=10),$F$26,IF(AND(I18&gt;0,'[6]EvaluaciónRiesgoCorrup 1'!$F$11&lt;51,D18=2,E18=20),$G$26," ")))</f>
        <v xml:space="preserve"> </v>
      </c>
      <c r="BK18" s="29" t="str">
        <f>IF(AND(I18&gt;0,'[6]EvaluaciónRiesgoCorrup 1'!$F$11&lt;51,D18=3,E18=5),$E$27,IF(AND(I18&gt;0,'[6]EvaluaciónRiesgoCorrup 1'!$F$11&lt;51,D18=3,E18=10),$F$27,IF(AND(I18&gt;0,'[6]EvaluaciónRiesgoCorrup 1'!$F$11&lt;51,D18=3,E18=20),$G$27," ")))</f>
        <v xml:space="preserve"> </v>
      </c>
      <c r="BL18" s="29" t="str">
        <f>IF(AND(I18&gt;0,'[6]EvaluaciónRiesgoCorrup 1'!$F$11&lt;51,D18=4,E18=5),$E$28,IF(AND(I18&gt;0,'[6]EvaluaciónRiesgoCorrup 1'!$F$11&lt;51,D18=4,E18=10),$F$28,IF(AND(I18&gt;0,'[6]EvaluaciónRiesgoCorrup 1'!$F$11&lt;51,D18=4,E18=20),$G$28," ")))</f>
        <v xml:space="preserve"> </v>
      </c>
      <c r="BM18" s="29" t="str">
        <f>IF(AND(I18&gt;0,'[6]EvaluaciónRiesgoCorrup 1'!$F$11&lt;51,D18=5,E18=5),$E$29,IF(AND(I18&gt;0,'[6]EvaluaciónRiesgoCorrup 1'!$F$11&lt;51,D18=5,E18=10),$F$29,IF(AND(I18&gt;0,'[6]EvaluaciónRiesgoCorrup 1'!$F$11&lt;51,D18=5,E18=20),$G$29," ")))</f>
        <v xml:space="preserve"> </v>
      </c>
    </row>
    <row r="19" spans="1:65" ht="153.75" customHeight="1" x14ac:dyDescent="0.25">
      <c r="A19" s="74">
        <f>[6]IdentRiesgo!A8</f>
        <v>0</v>
      </c>
      <c r="B19" s="22">
        <f>[6]IdentRiesgo!B8</f>
        <v>0</v>
      </c>
      <c r="C19" s="22">
        <f>[6]IdentRiesgo!D8</f>
        <v>0</v>
      </c>
      <c r="D19" s="23" t="str">
        <f>IF([6]AnálisisRiesgo!B11&gt;0,5,IF([6]AnálisisRiesgo!C11&gt;0,4,IF([6]AnálisisRiesgo!D11&gt;0,3,IF([6]AnálisisRiesgo!E11&gt;0,2,IF([6]AnálisisRiesgo!F11&gt;0,1,"")))))</f>
        <v/>
      </c>
      <c r="E19" s="23" t="str">
        <f>IF([6]AnálisisRiesgo!G11&gt;0,5,IF([6]AnálisisRiesgo!H11&gt;0,4,IF([6]AnálisisRiesgo!I11&gt;0,3,IF([6]AnálisisRiesgo!J11&gt;0,2,IF([6]AnálisisRiesgo!K11&gt;0,1,IF([6]AnálisisRiesgo!L11&gt;0,20,IF([6]AnálisisRiesgo!M11&gt;0,10,IF([6]AnálisisRiesgo!N11&gt;0,5,""))))))))</f>
        <v/>
      </c>
      <c r="F19" s="23" t="str">
        <f>CONCATENATE(S19,T19,U19,V19,W19)</f>
        <v xml:space="preserve">     </v>
      </c>
      <c r="G19" s="24"/>
      <c r="H19" s="25"/>
      <c r="I19" s="26"/>
      <c r="J19" s="23" t="str">
        <f>CONCATENATE(Z19,AA19,AB19,AC19,AD19,AF19,AG19,AH19,AI19,AJ19,AM19,AN19,AO19,AP19,AQ19,AU19,AV19,AW19,AX19,AY19,BB19,BC19,BD19,BE19,BF19,BI19,BJ19,BK19,BL19,BM19)</f>
        <v xml:space="preserve">                              </v>
      </c>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IF(AND(H19&gt;0,'[6]EvaluaciónRiesgoCorrup 1'!$F$11&gt;75,D19=1,E19=5),$E$25,IF(AND(H19&gt;0,'[6]EvaluaciónRiesgoCorrup 1'!$F$11&gt;75,D19=1,E19=10),$F$25,IF(AND(H19&gt;0,'[6]EvaluaciónRiesgoCorrup 1'!$F$11&gt;75,D19=1,E19=20),$G$25," ")))</f>
        <v xml:space="preserve"> </v>
      </c>
      <c r="AA19" s="29" t="str">
        <f>IF(AND(H19&gt;0,'[6]EvaluaciónRiesgoCorrup 1'!$F$11&gt;75,D19=2,E19=5),$E$25,IF(AND(H19&gt;0,'[6]EvaluaciónRiesgoCorrup 1'!$F$11&gt;75,D19=2,E19=10),$F$25,IF(AND(H19&gt;0,'[6]EvaluaciónRiesgoCorrup 1'!$F$11&gt;75,D19=2,E19=20),$G$25," ")))</f>
        <v xml:space="preserve"> </v>
      </c>
      <c r="AB19" s="29" t="str">
        <f>IF(AND(H19&gt;0,'[6]EvaluaciónRiesgoCorrup 1'!$F$11&gt;75,D19=3,E19=5),$E$25,IF(AND(H19&gt;0,'[6]EvaluaciónRiesgoCorrup 1'!$F$11&gt;75,D19=3,E19=10),$F$25,IF(AND(H19&gt;0,'[6]EvaluaciónRiesgoCorrup 1'!$F$11&gt;75,D19=3,E19=20),$G$25," ")))</f>
        <v xml:space="preserve"> </v>
      </c>
      <c r="AC19" s="29" t="str">
        <f>IF(AND(H19&gt;0,'[6]EvaluaciónRiesgoCorrup 1'!$F$11&gt;75,D19=4,E19=5),$E$26,IF(AND(H19&gt;0,'[6]EvaluaciónRiesgoCorrup 1'!$F$11&gt;75,D19=4,E19=10),$F$26,IF(AND(H19&gt;0,'[6]EvaluaciónRiesgoCorrup 1'!$F$11&gt;75,D19=4,E19=20),$G$26," ")))</f>
        <v xml:space="preserve"> </v>
      </c>
      <c r="AD19" s="29" t="str">
        <f>IF(AND(H19&gt;0,'[6]EvaluaciónRiesgoCorrup 1'!$F$11&gt;75,D19=5,E19=5),$E$27,IF(AND(H19&gt;0,'[6]EvaluaciónRiesgoCorrup 1'!$F$11&gt;75,D19=5,E19=10),$F$27,IF(AND(H19&gt;0,'[6]EvaluaciónRiesgoCorrup 1'!$F$11&gt;75,D19=5,E19=20),$G$27," ")))</f>
        <v xml:space="preserve"> </v>
      </c>
      <c r="AF19" s="29" t="str">
        <f>IF(AND(H19&gt;0,'[6]EvaluaciónRiesgoCorrup 1'!$F$11&gt;50,'[6]EvaluaciónRiesgoCorrup 1'!$F$11&lt;76,D19=1,E19=5),$E$25,IF(AND(H19&gt;0,'[6]EvaluaciónRiesgoCorrup 1'!$F$11&gt;50,'[6]EvaluaciónRiesgoCorrup 1'!$F$11&lt;76,D19=1,E19=10),$F$25,IF(AND(H19&gt;0,'[6]EvaluaciónRiesgoCorrup 1'!$F$11&gt;50,'[6]EvaluaciónRiesgoCorrup 1'!$F$11&lt;76,D19=1,E19=20),$G$25," ")))</f>
        <v xml:space="preserve"> </v>
      </c>
      <c r="AG19" s="29" t="str">
        <f>IF(AND(H19&gt;0,'[6]EvaluaciónRiesgoCorrup 1'!$F$11&gt;50,'[6]EvaluaciónRiesgoCorrup 1'!$F$11&lt;76,D19=2,E19=5),$E$25,IF(AND(H19&gt;0,'[6]EvaluaciónRiesgoCorrup 1'!$F$11&gt;50,'[6]EvaluaciónRiesgoCorrup 1'!$F$11&lt;76,D19=2,E19=10),$F$25,IF(AND(H19&gt;0,'[6]EvaluaciónRiesgoCorrup 1'!$F$11&gt;50,'[6]EvaluaciónRiesgoCorrup 1'!$F$11&lt;76,D19=2,E19=20),$G$25," ")))</f>
        <v xml:space="preserve"> </v>
      </c>
      <c r="AH19" s="29" t="str">
        <f>IF(AND(H19&gt;0,'[6]EvaluaciónRiesgoCorrup 1'!$F$11&gt;50,'[6]EvaluaciónRiesgoCorrup 1'!$F$11&lt;76,D19=3,E19=5),$E$26,IF(AND(H19&gt;0,'[6]EvaluaciónRiesgoCorrup 1'!$F$11&gt;50,'[6]EvaluaciónRiesgoCorrup 1'!$F$11&lt;76,D19=3,E19=10),$F$26,IF(AND(H19&gt;0,'[6]EvaluaciónRiesgoCorrup 1'!$F$11&gt;50,'[6]EvaluaciónRiesgoCorrup 1'!$F$11&lt;76,D19=3,E19=20),$G$26," ")))</f>
        <v xml:space="preserve"> </v>
      </c>
      <c r="AI19" s="29" t="str">
        <f>IF(AND(H19&gt;0,'[6]EvaluaciónRiesgoCorrup 1'!$F$11&gt;50,'[6]EvaluaciónRiesgoCorrup 1'!$F$11&lt;76,D19=4,E19=5),$E$27,IF(AND(H19&gt;0,'[6]EvaluaciónRiesgoCorrup 1'!$F$11&gt;50,'[6]EvaluaciónRiesgoCorrup 1'!$F$11&lt;76,D19=4,E19=10),$F$27,IF(AND(H19&gt;0,'[6]EvaluaciónRiesgoCorrup 1'!$F$11&gt;50,'[6]EvaluaciónRiesgoCorrup 1'!$F$11&lt;76,D19=4,E19=20),$G$27," ")))</f>
        <v xml:space="preserve"> </v>
      </c>
      <c r="AJ19" s="29" t="str">
        <f>IF(AND(H19&gt;0,'[6]EvaluaciónRiesgoCorrup 1'!$F$11&gt;50,'[6]EvaluaciónRiesgoCorrup 1'!$F$11&lt;76,D19=5,E19=5),$E$28,IF(AND(H19&gt;0,'[6]EvaluaciónRiesgoCorrup 1'!$F$11&gt;50,'[6]EvaluaciónRiesgoCorrup 1'!$F$11&lt;76,D19=5,E19=10),$F$28,IF(AND(H19&gt;0,'[6]EvaluaciónRiesgoCorrup 1'!$F$11&gt;50,'[6]EvaluaciónRiesgoCorrup 1'!$F$11&lt;76,D19=5,E19=20),$G$28," ")))</f>
        <v xml:space="preserve"> </v>
      </c>
      <c r="AM19" s="29" t="str">
        <f>IF(AND(H19&gt;0,'[6]EvaluaciónRiesgoCorrup 1'!$F$11&lt;51,D19=1,E19=5),$E$25,IF(AND(H19&gt;0,'[6]EvaluaciónRiesgoCorrup 1'!$F$11&lt;51,D19=1,E19=10),$F$25,IF(AND(H19&gt;0,'[6]EvaluaciónRiesgoCorrup 1'!$F$11&lt;51,D19=1,E19=20),G$25," ")))</f>
        <v xml:space="preserve"> </v>
      </c>
      <c r="AN19" s="29" t="str">
        <f>IF(AND(H19&gt;0,'[6]EvaluaciónRiesgoCorrup 1'!$F$11&lt;51,D19=2,E19=5),$E$26,IF(AND(H19&gt;0,'[6]EvaluaciónRiesgoCorrup 1'!$F$11&lt;51,D19=2,E19=10),$F$26,IF(AND(H19&gt;0,'[6]EvaluaciónRiesgoCorrup 1'!$F$11&lt;51,D19=2,E19=20),G$26," ")))</f>
        <v xml:space="preserve"> </v>
      </c>
      <c r="AO19" s="29" t="str">
        <f>IF(AND(H19&gt;0,'[6]EvaluaciónRiesgoCorrup 1'!$F$11&lt;51,D19=3,E19=5),$E$27,IF(AND(H19&gt;0,'[6]EvaluaciónRiesgoCorrup 1'!$F$11&lt;51,D19=3,E19=10),$F$27,IF(AND(H19&gt;0,'[6]EvaluaciónRiesgoCorrup 1'!$F$11&lt;51,D19=3,E19=20),G$27," ")))</f>
        <v xml:space="preserve"> </v>
      </c>
      <c r="AP19" s="29" t="str">
        <f>IF(AND(H19&gt;0,'[6]EvaluaciónRiesgoCorrup 1'!$F$11&lt;51,D19=4,E19=5),$E$28,IF(AND(H19&gt;0,'[6]EvaluaciónRiesgoCorrup 1'!$F$11&lt;51,D19=4,E19=10),$F$28,IF(AND(H19&gt;0,'[6]EvaluaciónRiesgoCorrup 1'!$F$11&lt;51,D19=4,E19=20),G$28," ")))</f>
        <v xml:space="preserve"> </v>
      </c>
      <c r="AQ19" s="29" t="str">
        <f>IF(AND(H19&gt;0,'[6]EvaluaciónRiesgoCorrup 1'!$F$11&lt;51,D19=5,E19=5),$E$29,IF(AND(H19&gt;0,'[6]EvaluaciónRiesgoCorrup 1'!$F$11&lt;51,D19=5,E19=10),$F$29,IF(AND(H19&gt;0,'[6]EvaluaciónRiesgoCorrup 1'!$F$11&lt;51,D19=5,E19=20),G$29," ")))</f>
        <v xml:space="preserve"> </v>
      </c>
      <c r="AU19" s="29" t="str">
        <f>IF(AND(I19&gt;0,'[6]EvaluaciónRiesgoCorrup 1'!$F$11&gt;75,D19=1,E19=5),$E$25,IF(AND(I19&gt;0,'[6]EvaluaciónRiesgoCorrup 1'!$F$11&gt;75,D19=1,E19=10),$E$25,IF(AND(I19&gt;0,'[6]EvaluaciónRiesgoCorrup 1'!$F$11&gt;75,D19=1,E19=20),$E$25," ")))</f>
        <v xml:space="preserve"> </v>
      </c>
      <c r="AV19" s="29" t="str">
        <f>IF(AND(I19&gt;0,'[6]EvaluaciónRiesgoCorrup 1'!$F$11&gt;75,D19=2,E19=5),$E$26,IF(AND(I19&gt;0,'[6]EvaluaciónRiesgoCorrup 1'!$F$11&gt;75,D19=2,E19=10),$E$26,IF(AND(I19&gt;0,'[6]EvaluaciónRiesgoCorrup 1'!$F$11&gt;75,D19=2,E19=20),$E$26," ")))</f>
        <v xml:space="preserve"> </v>
      </c>
      <c r="AW19" s="29" t="str">
        <f>IF(AND(I19&gt;0,'[6]EvaluaciónRiesgoCorrup 1'!$F$11&gt;75,D19=3,E19=5),$E$27,IF(AND(I19&gt;0,'[6]EvaluaciónRiesgoCorrup 1'!$F$11&gt;75,D19=3,E19=10),$E$27,IF(AND(I19&gt;0,'[6]EvaluaciónRiesgoCorrup 1'!$F$11&gt;75,D19=3,E19=20),$E$27," ")))</f>
        <v xml:space="preserve"> </v>
      </c>
      <c r="AX19" s="29" t="str">
        <f>IF(AND(I19&gt;0,'[6]EvaluaciónRiesgoCorrup 1'!$F$11&gt;75,D19=4,E19=5),$E$28,IF(AND(I19&gt;0,'[6]EvaluaciónRiesgoCorrup 1'!$F$11&gt;75,D19=4,E19=10),$E$28,IF(AND(I19&gt;0,'[6]EvaluaciónRiesgoCorrup 1'!$F$11&gt;75,D19=4,E19=20),$E$28," ")))</f>
        <v xml:space="preserve"> </v>
      </c>
      <c r="AY19" s="29" t="str">
        <f>IF(AND(I19&gt;0,'[6]EvaluaciónRiesgoCorrup 1'!$F$11&gt;75,D19=5,E19=5),$E$29,IF(AND(I19&gt;0,'[6]EvaluaciónRiesgoCorrup 1'!$F$11&gt;75,D19=5,E19=10),$E$29,IF(AND(I19&gt;0,'[6]EvaluaciónRiesgoCorrup 1'!$F$11&gt;75,D19=5,E19=20),$E$29," ")))</f>
        <v xml:space="preserve"> </v>
      </c>
      <c r="BB19" s="29" t="str">
        <f>IF(AND(I19&gt;0,'[6]EvaluaciónRiesgoCorrup 1'!$F$11&gt;50,'[6]EvaluaciónRiesgoCorrup 1'!$F$11&lt;76,D19=1,E19=5),$E$25,IF(AND(I19&gt;0,'[6]EvaluaciónRiesgoCorrup 1'!$F$11&gt;50,'[6]EvaluaciónRiesgoCorrup 1'!$F$11&lt;76,D19=1,E19=10),$E$25,IF(AND(I19&gt;0,'[6]EvaluaciónRiesgoCorrup 1'!$F$11&gt;50,'[6]EvaluaciónRiesgoCorrup 1'!$F$11&lt;76,D19=1,E19=20),$F$25," ")))</f>
        <v xml:space="preserve"> </v>
      </c>
      <c r="BC19" s="29" t="str">
        <f>IF(AND(I19&gt;0,'[6]EvaluaciónRiesgoCorrup 1'!$F$11&gt;50,'[6]EvaluaciónRiesgoCorrup 1'!$F$11&lt;76,D19=2,E19=5),$E$26,IF(AND(I19&gt;0,'[6]EvaluaciónRiesgoCorrup 1'!$F$11&gt;50,'[6]EvaluaciónRiesgoCorrup 1'!$F$11&lt;76,D19=2,E19=10),$E$26,IF(AND(I19&gt;0,'[6]EvaluaciónRiesgoCorrup 1'!$F$11&gt;50,'[6]EvaluaciónRiesgoCorrup 1'!$F$11&lt;76,D19=2,E19=20),$F$26," ")))</f>
        <v xml:space="preserve"> </v>
      </c>
      <c r="BD19" s="29" t="str">
        <f>IF(AND(I19&gt;0,'[6]EvaluaciónRiesgoCorrup 1'!$F$11&gt;50,'[6]EvaluaciónRiesgoCorrup 1'!$F$11&lt;76,D19=3,E19=5),$E$27,IF(AND(I19&gt;0,'[6]EvaluaciónRiesgoCorrup 1'!$F$11&gt;50,'[6]EvaluaciónRiesgoCorrup 1'!$F$11&lt;76,D19=3,E19=10),$E$27,IF(AND(I19&gt;0,'[6]EvaluaciónRiesgoCorrup 1'!$F$11&gt;50,'[6]EvaluaciónRiesgoCorrup 1'!$F$11&lt;76,D19=3,E19=20),$F$27," ")))</f>
        <v xml:space="preserve"> </v>
      </c>
      <c r="BE19" s="29" t="str">
        <f>IF(AND(I19&gt;0,'[6]EvaluaciónRiesgoCorrup 1'!$F$11&gt;50,'[6]EvaluaciónRiesgoCorrup 1'!$F$11&lt;76,D19=4,E19=5),$E$28,IF(AND(I19&gt;0,'[6]EvaluaciónRiesgoCorrup 1'!$F$11&gt;50,'[6]EvaluaciónRiesgoCorrup 1'!$F$11&lt;76,D19=4,E19=10),$E$28,IF(AND(I19&gt;0,'[6]EvaluaciónRiesgoCorrup 1'!$F$11&gt;50,'[6]EvaluaciónRiesgoCorrup 1'!$F$11&lt;76,D19=4,E19=20),$F$28," ")))</f>
        <v xml:space="preserve"> </v>
      </c>
      <c r="BF19" s="29" t="str">
        <f>IF(AND(I19&gt;0,'[6]EvaluaciónRiesgoCorrup 1'!$F$11&gt;50,'[6]EvaluaciónRiesgoCorrup 1'!$F$11&lt;76,D19=5,E19=5),$E$29,IF(AND(I19&gt;0,'[6]EvaluaciónRiesgoCorrup 1'!$F$11&gt;50,'[6]EvaluaciónRiesgoCorrup 1'!$F$11&lt;76,D19=5,E19=10),$E$29,IF(AND(I19&gt;0,'[6]EvaluaciónRiesgoCorrup 1'!$F$11&gt;50,'[6]EvaluaciónRiesgoCorrup 1'!$F$11&lt;76,D19=5,E19=20),$F$29," ")))</f>
        <v xml:space="preserve"> </v>
      </c>
      <c r="BI19" s="29" t="str">
        <f>IF(AND(I19&gt;0,'[6]EvaluaciónRiesgoCorrup 1'!$F$11&lt;51,D19=1,E19=5),$E$25,IF(AND(I19&gt;0,'[6]EvaluaciónRiesgoCorrup 1'!$F$11&lt;51,D19=1,E19=10),$F$25,IF(AND(I19&gt;0,'[6]EvaluaciónRiesgoCorrup 1'!$F$11&lt;51,D19=1,E19=20),$G$25," ")))</f>
        <v xml:space="preserve"> </v>
      </c>
      <c r="BJ19" s="29" t="str">
        <f>IF(AND(I19&gt;0,'[6]EvaluaciónRiesgoCorrup 1'!$F$11&lt;51,D19=2,E19=5),$E$26,IF(AND(I19&gt;0,'[6]EvaluaciónRiesgoCorrup 1'!$F$11&lt;51,D19=2,E19=10),$F$26,IF(AND(I19&gt;0,'[6]EvaluaciónRiesgoCorrup 1'!$F$11&lt;51,D19=2,E19=20),$G$26," ")))</f>
        <v xml:space="preserve"> </v>
      </c>
      <c r="BK19" s="29" t="str">
        <f>IF(AND(I19&gt;0,'[6]EvaluaciónRiesgoCorrup 1'!$F$11&lt;51,D19=3,E19=5),$E$27,IF(AND(I19&gt;0,'[6]EvaluaciónRiesgoCorrup 1'!$F$11&lt;51,D19=3,E19=10),$F$27,IF(AND(I19&gt;0,'[6]EvaluaciónRiesgoCorrup 1'!$F$11&lt;51,D19=3,E19=20),$G$27," ")))</f>
        <v xml:space="preserve"> </v>
      </c>
      <c r="BL19" s="29" t="str">
        <f>IF(AND(I19&gt;0,'[6]EvaluaciónRiesgoCorrup 1'!$F$11&lt;51,D19=4,E19=5),$E$28,IF(AND(I19&gt;0,'[6]EvaluaciónRiesgoCorrup 1'!$F$11&lt;51,D19=4,E19=10),$F$28,IF(AND(I19&gt;0,'[6]EvaluaciónRiesgoCorrup 1'!$F$11&lt;51,D19=4,E19=20),$G$28," ")))</f>
        <v xml:space="preserve"> </v>
      </c>
      <c r="BM19" s="29" t="str">
        <f>IF(AND(I19&gt;0,'[6]EvaluaciónRiesgoCorrup 1'!$F$11&lt;51,D19=5,E19=5),$E$29,IF(AND(I19&gt;0,'[6]EvaluaciónRiesgoCorrup 1'!$F$11&lt;51,D19=5,E19=10),$F$29,IF(AND(I19&gt;0,'[6]EvaluaciónRiesgoCorrup 1'!$F$11&lt;51,D19=5,E19=20),$G$29," ")))</f>
        <v xml:space="preserve"> </v>
      </c>
    </row>
    <row r="20" spans="1:65" x14ac:dyDescent="0.25">
      <c r="A20" s="74"/>
      <c r="B20" s="22"/>
      <c r="C20" s="22"/>
    </row>
    <row r="21" spans="1:65" x14ac:dyDescent="0.25">
      <c r="A21" s="29"/>
      <c r="B21" s="31"/>
      <c r="C21" s="31"/>
    </row>
    <row r="22" spans="1:65" ht="15" thickBot="1" x14ac:dyDescent="0.3">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D12:Q12"/>
    <mergeCell ref="D10:Q10"/>
    <mergeCell ref="D8:Q8"/>
    <mergeCell ref="D6:Q6"/>
    <mergeCell ref="D1:O4"/>
    <mergeCell ref="P3:Q3"/>
    <mergeCell ref="P2:Q2"/>
    <mergeCell ref="P1:Q1"/>
    <mergeCell ref="P4:Q4"/>
    <mergeCell ref="A6:C6"/>
    <mergeCell ref="A8:C8"/>
    <mergeCell ref="A10:C10"/>
    <mergeCell ref="A12:C12"/>
    <mergeCell ref="A1:C4"/>
    <mergeCell ref="AV13:BO13"/>
    <mergeCell ref="A14:C14"/>
    <mergeCell ref="D14:E14"/>
    <mergeCell ref="G14:G16"/>
    <mergeCell ref="K14:M14"/>
    <mergeCell ref="N14:Q14"/>
    <mergeCell ref="P15:P16"/>
    <mergeCell ref="Q15:Q16"/>
    <mergeCell ref="K15:M15"/>
    <mergeCell ref="H14:J14"/>
    <mergeCell ref="H15:J15"/>
    <mergeCell ref="N15:N16"/>
    <mergeCell ref="O15:O16"/>
    <mergeCell ref="AB13:AT13"/>
    <mergeCell ref="D23:D24"/>
    <mergeCell ref="A15:A16"/>
    <mergeCell ref="B15:B16"/>
    <mergeCell ref="C15:C16"/>
    <mergeCell ref="D15:E15"/>
    <mergeCell ref="E23:G23"/>
  </mergeCells>
  <conditionalFormatting sqref="F17:F19 J17:J19">
    <cfRule type="containsText" dxfId="43" priority="1" operator="containsText" text="E">
      <formula>NOT(ISERROR(SEARCH("E",F17)))</formula>
    </cfRule>
    <cfRule type="containsText" dxfId="42" priority="2" operator="containsText" text="M">
      <formula>NOT(ISERROR(SEARCH("M",F17)))</formula>
    </cfRule>
    <cfRule type="containsText" dxfId="41" priority="3" operator="containsText" text="A">
      <formula>NOT(ISERROR(SEARCH("A",F17)))</formula>
    </cfRule>
    <cfRule type="containsText" dxfId="40"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3"/>
  <sheetViews>
    <sheetView showGridLines="0" view="pageBreakPreview" zoomScale="30" zoomScaleNormal="70" zoomScaleSheetLayoutView="3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21.7109375" style="2" customWidth="1"/>
    <col min="11" max="11" width="25.7109375" style="2" customWidth="1"/>
    <col min="12" max="12" width="35.28515625" style="2" customWidth="1"/>
    <col min="13" max="13" width="17" style="2" customWidth="1"/>
    <col min="14" max="14" width="36.42578125" style="5" customWidth="1"/>
    <col min="15" max="15" width="26.5703125" style="2" customWidth="1"/>
    <col min="16" max="18" width="30.42578125" style="2" customWidth="1"/>
    <col min="19" max="19" width="36" style="2" hidden="1" customWidth="1"/>
    <col min="20" max="20" width="0" style="2" hidden="1" customWidth="1"/>
    <col min="21" max="67" width="11.42578125" style="2" hidden="1" customWidth="1"/>
    <col min="68" max="68" width="11.42578125" style="2"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[7]IdentRiesgo!B2</f>
        <v>Gestión Documental</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[7]IdentRiesgo!B3</f>
        <v xml:space="preserve">Administrar la producción, trámite, almacenamiento digital, recuperación, consulta y custodia de la correspondencia Institucional. Difundir y disponer para consulta la información ambiental y administrativa del Instituto y del Sistema de Información Nacional Ambiental – SINA-. </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134</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69"/>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69" t="s">
        <v>28</v>
      </c>
      <c r="E16" s="69" t="s">
        <v>12</v>
      </c>
      <c r="F16" s="69" t="s">
        <v>29</v>
      </c>
      <c r="G16" s="107"/>
      <c r="H16" s="19" t="s">
        <v>28</v>
      </c>
      <c r="I16" s="19" t="s">
        <v>12</v>
      </c>
      <c r="J16" s="70" t="s">
        <v>29</v>
      </c>
      <c r="K16" s="69" t="s">
        <v>30</v>
      </c>
      <c r="L16" s="69" t="s">
        <v>26</v>
      </c>
      <c r="M16" s="69" t="s">
        <v>31</v>
      </c>
      <c r="N16" s="110"/>
      <c r="O16" s="110"/>
      <c r="P16" s="110"/>
      <c r="Q16" s="110"/>
    </row>
    <row r="17" spans="1:65" ht="357" customHeight="1" x14ac:dyDescent="0.25">
      <c r="A17" s="71" t="str">
        <f>[7]IdentRiesgo!A6</f>
        <v>Desconocimiento o mala aplicación de la normatividad vigente.
Desconocimiento de los procesos, procedimientos y otros documentos del Sistema de Gestión Integrado.</v>
      </c>
      <c r="B17" s="22" t="str">
        <f>[7]IdentRiesgo!B6</f>
        <v>Inadecuado uso y manejo de los documentos públicos.</v>
      </c>
      <c r="C17" s="22" t="str">
        <f>[7]IdentRiesgo!D6</f>
        <v>Sanciones disciplinarias.
Reprocesos y perdida de tiempo.
Mala imagen del Instituto.
Pérdida de la memoria Institucional.</v>
      </c>
      <c r="D17" s="23">
        <f>IF([7]AnálisisRiesgo!B9&gt;0,5,IF([7]AnálisisRiesgo!C9&gt;0,4,IF([7]AnálisisRiesgo!D9&gt;0,3,IF([7]AnálisisRiesgo!E9&gt;0,2,IF([7]AnálisisRiesgo!F9&gt;0,1,"")))))</f>
        <v>1</v>
      </c>
      <c r="E17" s="23">
        <f>IF([7]AnálisisRiesgo!G9&gt;0,5,IF([7]AnálisisRiesgo!H9&gt;0,4,IF([7]AnálisisRiesgo!I9&gt;0,3,IF([7]AnálisisRiesgo!J9&gt;0,2,IF([7]AnálisisRiesgo!K9&gt;0,1,IF([7]AnálisisRiesgo!L9&gt;0,20,IF([7]AnálisisRiesgo!M9&gt;0,10,IF([7]AnálisisRiesgo!N9&gt;0,5,""))))))))</f>
        <v>10</v>
      </c>
      <c r="F17" s="23" t="str">
        <f>CONCATENATE(S17,T17,U17,V17,W17)</f>
        <v xml:space="preserve">B    </v>
      </c>
      <c r="G17" s="23" t="s">
        <v>135</v>
      </c>
      <c r="H17" s="25"/>
      <c r="I17" s="26" t="s">
        <v>32</v>
      </c>
      <c r="J17" s="23" t="str">
        <f>CONCATENATE(Z17,AA17,AB17,AC17,AD17,AF17,AG17,AH17,AI17,AJ17,AM17,AN17,AO17,AP17,AQ17,AU17,AV17,AW17,AX17,AY17,BB17,BC17,BD17,BE17,BF17,BI17,BJ17,BK17,BL17,BM17)</f>
        <v xml:space="preserve">               B              </v>
      </c>
      <c r="K17" s="23" t="s">
        <v>66</v>
      </c>
      <c r="L17" s="23" t="s">
        <v>136</v>
      </c>
      <c r="M17" s="23" t="s">
        <v>137</v>
      </c>
      <c r="N17" s="27"/>
      <c r="O17" s="27"/>
      <c r="P17" s="27"/>
      <c r="Q17" s="29"/>
      <c r="S17" s="29" t="str">
        <f>IF(AND(D17=1,E17=5),$E$24,IF(AND(D17=1,E17=10),$F$24,IF(AND(D17=1,E17=20),$G$24," ")))</f>
        <v>B</v>
      </c>
      <c r="T17" s="29" t="str">
        <f>IF(AND(D17=2,E17=5),$E$25,IF(AND(D17=2,E17=10),$F$25,IF(AND(D17=2,E17=20),$G$25," ")))</f>
        <v xml:space="preserve"> </v>
      </c>
      <c r="U17" s="29" t="str">
        <f>IF(AND(D17=3,E17=5),$E$26,IF(AND(D17=3,E17=10),$F$26,IF(AND(D17=3,E17=20),$G$26," ")))</f>
        <v xml:space="preserve"> </v>
      </c>
      <c r="V17" s="29" t="str">
        <f>IF(AND(D17=4,E17=5),$E$27,IF(AND(D17=4,E17=10),$F$27,IF(AND(D17=4,E17=20),$G$27," ")))</f>
        <v xml:space="preserve"> </v>
      </c>
      <c r="W17" s="29" t="str">
        <f>IF(AND(D17=5,E17=5),$E$28,IF(AND(D17=5,E17=10),$F$28,IF(AND(D17=5,E17=20),$G$28," ")))</f>
        <v xml:space="preserve"> </v>
      </c>
      <c r="Y17" s="30" t="s">
        <v>35</v>
      </c>
      <c r="Z17" s="29" t="str">
        <f>IF(AND(H17&gt;0,[7]EvaluaciónRiesgoCorrup1!$F$11&gt;75,D17=1,E17=5),$E$24,IF(AND(H17&gt;0,[7]EvaluaciónRiesgoCorrup1!$F$11&gt;75,D17=1,E17=10),$F$24,IF(AND(H17&gt;0,[7]EvaluaciónRiesgoCorrup1!$F$11&gt;75,D17=1,E17=20),$G$24," ")))</f>
        <v xml:space="preserve"> </v>
      </c>
      <c r="AA17" s="29" t="str">
        <f>IF(AND(H17&gt;0,[7]EvaluaciónRiesgoCorrup1!$F$11&gt;75,D17=2,E17=5),$E$24,IF(AND(H17&gt;0,[7]EvaluaciónRiesgoCorrup1!$F$11&gt;75,D17=2,E17=10),$F$24,IF(AND(H17&gt;0,[7]EvaluaciónRiesgoCorrup1!$F$11&gt;75,D17=2,E17=20),$G$24," ")))</f>
        <v xml:space="preserve"> </v>
      </c>
      <c r="AB17" s="29" t="str">
        <f>IF(AND(H17&gt;0,[7]EvaluaciónRiesgoCorrup1!$F$11&gt;75,D17=3,E17=5),$E$24,IF(AND(H17&gt;0,[7]EvaluaciónRiesgoCorrup1!$F$11&gt;75,D17=3,E17=10),$F$24,IF(AND(H17&gt;0,[7]EvaluaciónRiesgoCorrup1!$F$11&gt;75,D17=3,E17=20),$G$24," ")))</f>
        <v xml:space="preserve"> </v>
      </c>
      <c r="AC17" s="29" t="str">
        <f>IF(AND(H17&gt;0,[7]EvaluaciónRiesgoCorrup1!$F$11&gt;75,D17=4,E17=5),$E$25,IF(AND(H17&gt;0,[7]EvaluaciónRiesgoCorrup1!$F$11&gt;75,D17=4,E17=10),$F$25,IF(AND(H17&gt;0,[7]EvaluaciónRiesgoCorrup1!$F$11&gt;75,D17=4,E17=20),$G$25," ")))</f>
        <v xml:space="preserve"> </v>
      </c>
      <c r="AD17" s="29" t="str">
        <f>IF(AND(H17&gt;0,[7]EvaluaciónRiesgoCorrup1!$F$11&gt;75,D17=5,E17=5),$E$26,IF(AND(H17&gt;0,[7]EvaluaciónRiesgoCorrup1!$F$11&gt;75,D17=5,E17=10),$F$26,IF(AND(H17&gt;0,[7]EvaluaciónRiesgoCorrup1!$F$11&gt;75,D17=5,E17=20),$G$26," ")))</f>
        <v xml:space="preserve"> </v>
      </c>
      <c r="AE17" s="30" t="s">
        <v>36</v>
      </c>
      <c r="AF17" s="29" t="str">
        <f>IF(AND(H17&gt;0,[7]EvaluaciónRiesgoCorrup1!$F$11&gt;50,[7]EvaluaciónRiesgoCorrup1!$F$11&lt;76,D17=1,E17=5),$E$24,IF(AND(H17&gt;0,[7]EvaluaciónRiesgoCorrup1!$F$11&gt;50,[7]EvaluaciónRiesgoCorrup1!$F$11&lt;76,D17=1,E17=10),$F$24,IF(AND(H17&gt;0,[7]EvaluaciónRiesgoCorrup1!$F$11&gt;50,[7]EvaluaciónRiesgoCorrup1!$F$11&lt;76,D17=1,E17=20),$G$24," ")))</f>
        <v xml:space="preserve"> </v>
      </c>
      <c r="AG17" s="29" t="str">
        <f>IF(AND(H17&gt;0,[7]EvaluaciónRiesgoCorrup1!$F$11&gt;50,[7]EvaluaciónRiesgoCorrup1!$F$11&lt;76,D17=2,E17=5),$E$24,IF(AND(H17&gt;0,[7]EvaluaciónRiesgoCorrup1!$F$11&gt;50,[7]EvaluaciónRiesgoCorrup1!$F$11&lt;76,D17=2,E17=10),$F$24,IF(AND(H17&gt;0,[7]EvaluaciónRiesgoCorrup1!$F$11&gt;50,[7]EvaluaciónRiesgoCorrup1!$F$11&lt;76,D17=2,E17=20),$G$24," ")))</f>
        <v xml:space="preserve"> </v>
      </c>
      <c r="AH17" s="29" t="str">
        <f>IF(AND(H17&gt;0,[7]EvaluaciónRiesgoCorrup1!$F$11&gt;50,[7]EvaluaciónRiesgoCorrup1!$F$11&lt;76,D17=3,E17=5),$E$25,IF(AND(H17&gt;0,[7]EvaluaciónRiesgoCorrup1!$F$11&gt;50,[7]EvaluaciónRiesgoCorrup1!$F$11&lt;76,D17=3,E17=10),$F$25,IF(AND(H17&gt;0,[7]EvaluaciónRiesgoCorrup1!$F$11&gt;50,[7]EvaluaciónRiesgoCorrup1!$F$11&lt;76,D17=3,E17=20),$G$25," ")))</f>
        <v xml:space="preserve"> </v>
      </c>
      <c r="AI17" s="29" t="str">
        <f>IF(AND(H17&gt;0,[7]EvaluaciónRiesgoCorrup1!$F$11&gt;50,[7]EvaluaciónRiesgoCorrup1!$F$11&lt;76,D17=4,E17=5),$E$26,IF(AND(H17&gt;0,[7]EvaluaciónRiesgoCorrup1!$F$11&gt;50,[7]EvaluaciónRiesgoCorrup1!$F$11&lt;76,D17=4,E17=10),$F$26,IF(AND(H17&gt;0,[7]EvaluaciónRiesgoCorrup1!$F$11&gt;50,[7]EvaluaciónRiesgoCorrup1!$F$11&lt;76,D17=4,E17=20),$G$26," ")))</f>
        <v xml:space="preserve"> </v>
      </c>
      <c r="AJ17" s="29" t="str">
        <f>IF(AND(H17&gt;0,[7]EvaluaciónRiesgoCorrup1!$F$11&gt;50,[7]EvaluaciónRiesgoCorrup1!$F$11&lt;76,D17=5,E17=5),$E$27,IF(AND(H17&gt;0,[7]EvaluaciónRiesgoCorrup1!$F$11&gt;50,[7]EvaluaciónRiesgoCorrup1!$F$11&lt;76,D17=5,E17=10),$F$27,IF(AND(H17&gt;0,[7]EvaluaciónRiesgoCorrup1!$F$11&gt;50,[7]EvaluaciónRiesgoCorrup1!$F$11&lt;76,D17=5,E17=20),$G$27," ")))</f>
        <v xml:space="preserve"> </v>
      </c>
      <c r="AL17" s="30" t="s">
        <v>37</v>
      </c>
      <c r="AM17" s="29" t="str">
        <f>IF(AND(H17&gt;0,[7]EvaluaciónRiesgoCorrup1!$F$11&lt;51,D17=1,E17=5),$E$24,IF(AND(H17&gt;0,[7]EvaluaciónRiesgoCorrup1!$F$11&lt;51,D17=1,E17=10),$F$24,IF(AND(H17&gt;0,[7]EvaluaciónRiesgoCorrup1!$F$11&lt;51,D17=1,E17=20),G$24," ")))</f>
        <v xml:space="preserve"> </v>
      </c>
      <c r="AN17" s="29" t="str">
        <f>IF(AND(H17&gt;0,[7]EvaluaciónRiesgoCorrup1!$F$11&lt;51,D17=2,E17=5),$E$25,IF(AND(H17&gt;0,[7]EvaluaciónRiesgoCorrup1!$F$11&lt;51,D17=2,E17=10),$F$25,IF(AND(H17&gt;0,[7]EvaluaciónRiesgoCorrup1!$F$11&lt;51,D17=2,E17=20),G$25," ")))</f>
        <v xml:space="preserve"> </v>
      </c>
      <c r="AO17" s="29" t="str">
        <f>IF(AND(H17&gt;0,[7]EvaluaciónRiesgoCorrup1!$F$11&lt;51,D17=3,E17=5),$E$26,IF(AND(H17&gt;0,[7]EvaluaciónRiesgoCorrup1!$F$11&lt;51,D17=3,E17=10),$F$26,IF(AND(H17&gt;0,[7]EvaluaciónRiesgoCorrup1!$F$11&lt;51,D17=3,E17=20),G$26," ")))</f>
        <v xml:space="preserve"> </v>
      </c>
      <c r="AP17" s="29" t="str">
        <f>IF(AND(H17&gt;0,[7]EvaluaciónRiesgoCorrup1!$F$11&lt;51,D17=4,E17=5),$E$27,IF(AND(H17&gt;0,[7]EvaluaciónRiesgoCorrup1!$F$11&lt;51,D17=4,E17=10),$F$27,IF(AND(H17&gt;0,[7]EvaluaciónRiesgoCorrup1!$F$11&lt;51,D17=4,E17=20),G$27," ")))</f>
        <v xml:space="preserve"> </v>
      </c>
      <c r="AQ17" s="29" t="str">
        <f>IF(AND(H17&gt;0,[7]EvaluaciónRiesgoCorrup1!$F$11&lt;51,D17=5,E17=5),$E$28,IF(AND(H17&gt;0,[7]EvaluaciónRiesgoCorrup1!$F$11&lt;51,D17=5,E17=10),$F$28,IF(AND(H17&gt;0,[7]EvaluaciónRiesgoCorrup1!$F$11&lt;51,D17=5,E17=20),G$28," ")))</f>
        <v xml:space="preserve"> </v>
      </c>
      <c r="AT17" s="30" t="s">
        <v>35</v>
      </c>
      <c r="AU17" s="29" t="str">
        <f>IF(AND(I17&gt;0,[7]EvaluaciónRiesgoCorrup1!$F$11&gt;75,D17=1,E17=5),$E$24,IF(AND(I17&gt;0,[7]EvaluaciónRiesgoCorrup1!$F$11&gt;75,D17=1,E17=10),$E$24,IF(AND(I17&gt;0,[7]EvaluaciónRiesgoCorrup1!$F$11&gt;75,D17=1,E17=20),$E$24," ")))</f>
        <v>B</v>
      </c>
      <c r="AV17" s="29" t="str">
        <f>IF(AND(I17&gt;0,[7]EvaluaciónRiesgoCorrup1!$F$11&gt;75,D17=2,E17=5),$E$25,IF(AND(I17&gt;0,[7]EvaluaciónRiesgoCorrup1!$F$11&gt;75,D17=2,E17=10),$E$25,IF(AND(I17&gt;0,[7]EvaluaciónRiesgoCorrup1!$F$11&gt;75,D17=2,E17=20),$E$25," ")))</f>
        <v xml:space="preserve"> </v>
      </c>
      <c r="AW17" s="29" t="str">
        <f>IF(AND(I17&gt;0,[7]EvaluaciónRiesgoCorrup1!$F$11&gt;75,D17=3,E17=5),$E$26,IF(AND(I17&gt;0,[7]EvaluaciónRiesgoCorrup1!$F$11&gt;75,D17=3,E17=10),$E$26,IF(AND(I17&gt;0,[7]EvaluaciónRiesgoCorrup1!$F$11&gt;75,D17=3,E17=20),$E$26," ")))</f>
        <v xml:space="preserve"> </v>
      </c>
      <c r="AX17" s="29" t="str">
        <f>IF(AND(I17&gt;0,[7]EvaluaciónRiesgoCorrup1!$F$11&gt;75,D17=4,E17=5),$E$27,IF(AND(I17&gt;0,[7]EvaluaciónRiesgoCorrup1!$F$11&gt;75,D17=4,E17=10),$E$27,IF(AND(I17&gt;0,[7]EvaluaciónRiesgoCorrup1!$F$11&gt;75,D17=4,E17=20),$E$27," ")))</f>
        <v xml:space="preserve"> </v>
      </c>
      <c r="AY17" s="29" t="str">
        <f>IF(AND(I17&gt;0,[7]EvaluaciónRiesgoCorrup1!$F$11&gt;75,D17=5,E17=5),$E$28,IF(AND(I17&gt;0,[7]EvaluaciónRiesgoCorrup1!$F$11&gt;75,D17=5,E17=10),$E$28,IF(AND(I17&gt;0,[7]EvaluaciónRiesgoCorrup1!$F$11&gt;75,D17=5,E17=20),$E$28," ")))</f>
        <v xml:space="preserve"> </v>
      </c>
      <c r="BA17" s="30" t="s">
        <v>36</v>
      </c>
      <c r="BB17" s="29" t="str">
        <f>IF(AND(I17&gt;0,[7]EvaluaciónRiesgoCorrup1!$F$11&gt;50,[7]EvaluaciónRiesgoCorrup1!$F$11&lt;76,D17=1,E17=5),$E$24,IF(AND(I17&gt;0,[7]EvaluaciónRiesgoCorrup1!$F$11&gt;50,[7]EvaluaciónRiesgoCorrup1!$F$11&lt;76,D17=1,E17=10),$E$24,IF(AND(I17&gt;0,[7]EvaluaciónRiesgoCorrup1!$F$11&gt;50,[7]EvaluaciónRiesgoCorrup1!$F$11&lt;76,D17=1,E17=20),$F$24," ")))</f>
        <v xml:space="preserve"> </v>
      </c>
      <c r="BC17" s="29" t="str">
        <f>IF(AND(I17&gt;0,[7]EvaluaciónRiesgoCorrup1!$F$11&gt;50,[7]EvaluaciónRiesgoCorrup1!$F$11&lt;76,D17=2,E17=5),$E$25,IF(AND(I17&gt;0,[7]EvaluaciónRiesgoCorrup1!$F$11&gt;50,[7]EvaluaciónRiesgoCorrup1!$F$11&lt;76,D17=2,E17=10),$E$25,IF(AND(I17&gt;0,[7]EvaluaciónRiesgoCorrup1!$F$11&gt;50,[7]EvaluaciónRiesgoCorrup1!$F$11&lt;76,D17=2,E17=20),$F$25," ")))</f>
        <v xml:space="preserve"> </v>
      </c>
      <c r="BD17" s="29" t="str">
        <f>IF(AND(I17&gt;0,[7]EvaluaciónRiesgoCorrup1!$F$11&gt;50,[7]EvaluaciónRiesgoCorrup1!$F$11&lt;76,D17=3,E17=5),$E$26,IF(AND(I17&gt;0,[7]EvaluaciónRiesgoCorrup1!$F$11&gt;50,[7]EvaluaciónRiesgoCorrup1!$F$11&lt;76,D17=3,E17=10),$E$26,IF(AND(I17&gt;0,[7]EvaluaciónRiesgoCorrup1!$F$11&gt;50,[7]EvaluaciónRiesgoCorrup1!$F$11&lt;76,D17=3,E17=20),$F$26," ")))</f>
        <v xml:space="preserve"> </v>
      </c>
      <c r="BE17" s="29" t="str">
        <f>IF(AND(I17&gt;0,[7]EvaluaciónRiesgoCorrup1!$F$11&gt;50,[7]EvaluaciónRiesgoCorrup1!$F$11&lt;76,D17=4,E17=5),$E$27,IF(AND(I17&gt;0,[7]EvaluaciónRiesgoCorrup1!$F$11&gt;50,[7]EvaluaciónRiesgoCorrup1!$F$11&lt;76,D17=4,E17=10),$E$27,IF(AND(I17&gt;0,[7]EvaluaciónRiesgoCorrup1!$F$11&gt;50,[7]EvaluaciónRiesgoCorrup1!$F$11&lt;76,D17=4,E17=20),$F$27," ")))</f>
        <v xml:space="preserve"> </v>
      </c>
      <c r="BF17" s="29" t="str">
        <f>IF(AND(I17&gt;0,[7]EvaluaciónRiesgoCorrup1!$F$11&gt;50,[7]EvaluaciónRiesgoCorrup1!$F$11&lt;76,D17=5,E17=5),$E$28,IF(AND(I17&gt;0,[7]EvaluaciónRiesgoCorrup1!$F$11&gt;50,[7]EvaluaciónRiesgoCorrup1!$F$11&lt;76,D17=5,E17=10),$E$28,IF(AND(I17&gt;0,[7]EvaluaciónRiesgoCorrup1!$F$11&gt;50,[7]EvaluaciónRiesgoCorrup1!$F$11&lt;76,D17=5,E17=20),$F$28," ")))</f>
        <v xml:space="preserve"> </v>
      </c>
      <c r="BH17" s="30" t="s">
        <v>37</v>
      </c>
      <c r="BI17" s="29" t="str">
        <f>IF(AND(I17&gt;0,[7]EvaluaciónRiesgoCorrup1!$F$11&lt;51,D17=1,E17=5),$E$24,IF(AND(I17&gt;0,[7]EvaluaciónRiesgoCorrup1!$F$11&lt;51,D17=1,E17=10),$F$24,IF(AND(I17&gt;0,[7]EvaluaciónRiesgoCorrup1!$F$11&lt;51,D17=1,E17=20),$G$24," ")))</f>
        <v xml:space="preserve"> </v>
      </c>
      <c r="BJ17" s="29" t="str">
        <f>IF(AND(I17&gt;0,[7]EvaluaciónRiesgoCorrup1!$F$11&lt;51,D17=2,E17=5),$E$25,IF(AND(I17&gt;0,[7]EvaluaciónRiesgoCorrup1!$F$11&lt;51,D17=2,E17=10),$F$25,IF(AND(I17&gt;0,[7]EvaluaciónRiesgoCorrup1!$F$11&lt;51,D17=2,E17=20),$G$25," ")))</f>
        <v xml:space="preserve"> </v>
      </c>
      <c r="BK17" s="29" t="str">
        <f>IF(AND(I17&gt;0,[7]EvaluaciónRiesgoCorrup1!$F$11&lt;51,D17=3,E17=5),$E$26,IF(AND(I17&gt;0,[7]EvaluaciónRiesgoCorrup1!$F$11&lt;51,D17=3,E17=10),$F$26,IF(AND(I17&gt;0,[7]EvaluaciónRiesgoCorrup1!$F$11&lt;51,D17=3,E17=20),$G$26," ")))</f>
        <v xml:space="preserve"> </v>
      </c>
      <c r="BL17" s="29" t="str">
        <f>IF(AND(I17&gt;0,[7]EvaluaciónRiesgoCorrup1!$F$11&lt;51,D17=4,E17=5),$E$27,IF(AND(I17&gt;0,[7]EvaluaciónRiesgoCorrup1!$F$11&lt;51,D17=4,E17=10),$F$27,IF(AND(I17&gt;0,[7]EvaluaciónRiesgoCorrup1!$F$11&lt;51,D17=4,E17=20),$G$27," ")))</f>
        <v xml:space="preserve"> </v>
      </c>
      <c r="BM17" s="29" t="str">
        <f>IF(AND(I17&gt;0,[7]EvaluaciónRiesgoCorrup1!$F$11&lt;51,D17=5,E17=5),$E$28,IF(AND(I17&gt;0,[7]EvaluaciónRiesgoCorrup1!$F$11&lt;51,D17=5,E17=10),$F$28,IF(AND(I17&gt;0,[7]EvaluaciónRiesgoCorrup1!$F$11&lt;51,D17=5,E17=20),$G$28," ")))</f>
        <v xml:space="preserve"> </v>
      </c>
    </row>
    <row r="18" spans="1:65" ht="153.75" customHeight="1" x14ac:dyDescent="0.3">
      <c r="A18" s="71">
        <f>[7]IdentRiesgo!A7</f>
        <v>0</v>
      </c>
      <c r="B18" s="22">
        <f>[7]IdentRiesgo!B7</f>
        <v>0</v>
      </c>
      <c r="C18" s="22">
        <f>[7]IdentRiesgo!D7</f>
        <v>0</v>
      </c>
      <c r="D18" s="23" t="str">
        <f>IF([7]AnálisisRiesgo!B10&gt;0,5,IF([7]AnálisisRiesgo!C10&gt;0,4,IF([7]AnálisisRiesgo!D10&gt;0,3,IF([7]AnálisisRiesgo!E10&gt;0,2,IF([7]AnálisisRiesgo!F10&gt;0,1,"")))))</f>
        <v/>
      </c>
      <c r="E18" s="23" t="str">
        <f>IF([7]AnálisisRiesgo!G10&gt;0,5,IF([7]AnálisisRiesgo!H10&gt;0,4,IF([7]AnálisisRiesgo!I10&gt;0,3,IF([7]AnálisisRiesgo!J10&gt;0,2,IF([7]AnálisisRiesgo!K10&gt;0,1,IF([7]AnálisisRiesgo!L10&gt;0,20,IF([7]AnálisisRiesgo!M10&gt;0,10,IF([7]AnálisisRiesgo!N10&gt;0,5,""))))))))</f>
        <v/>
      </c>
      <c r="F18" s="23" t="str">
        <f t="shared" ref="F18" si="0">CONCATENATE(S18,T18,U18,V18,W18)</f>
        <v xml:space="preserve">     </v>
      </c>
      <c r="G18" s="23"/>
      <c r="H18" s="25"/>
      <c r="I18" s="26"/>
      <c r="J18" s="23" t="str">
        <f>CONCATENATE(Z18,AA18,AB18,AC18,AD18,AF18,AG18,AH18,AI18,AJ18,AM18,AN18,AO18,AP18,AQ18,AU18,AV18,AW18,AX18,AY18,BB18,BC18,BD18,BE18,BF18,BI18,BJ18,BK18,BL18,BM18)</f>
        <v xml:space="preserve">                              </v>
      </c>
      <c r="K18" s="23"/>
      <c r="L18" s="23"/>
      <c r="M18" s="23"/>
      <c r="N18" s="27"/>
      <c r="O18" s="27"/>
      <c r="P18" s="27"/>
      <c r="Q18" s="29"/>
      <c r="S18" s="29" t="str">
        <f>IF(AND(D18=1,E18=5),$E$24,IF(AND(D18=1,E18=10),$F$24,IF(AND(D18=1,E18=20),$G$24," ")))</f>
        <v xml:space="preserve"> </v>
      </c>
      <c r="T18" s="29" t="str">
        <f>IF(AND(D18=2,E18=5),$E$25,IF(AND(D18=2,E18=10),$F$25,IF(AND(D18=2,E18=20),$G$25," ")))</f>
        <v xml:space="preserve"> </v>
      </c>
      <c r="U18" s="29" t="str">
        <f>IF(AND(D18=3,E18=5),$E$26,IF(AND(D18=3,E18=10),$F$26,IF(AND(D18=3,E18=20),$G$26," ")))</f>
        <v xml:space="preserve"> </v>
      </c>
      <c r="V18" s="29" t="str">
        <f>IF(AND(D18=4,E18=5),$E$27,IF(AND(D18=4,E18=10),$F$27,IF(AND(D18=4,E18=20),$G$27," ")))</f>
        <v xml:space="preserve"> </v>
      </c>
      <c r="W18" s="29" t="str">
        <f>IF(AND(D18=5,E18=5),$E$28,IF(AND(D18=5,E18=10),$F$28,IF(AND(D18=5,E18=20),$G$28," ")))</f>
        <v xml:space="preserve"> </v>
      </c>
      <c r="Z18" s="29" t="str">
        <f>IF(AND(H18&gt;0,[7]EvaluaciónRiesgoCorrup1!$F$11&gt;75,D18=1,E18=5),$E$24,IF(AND(H18&gt;0,[7]EvaluaciónRiesgoCorrup1!$F$11&gt;75,D18=1,E18=10),$F$24,IF(AND(H18&gt;0,[7]EvaluaciónRiesgoCorrup1!$F$11&gt;75,D18=1,E18=20),$G$24," ")))</f>
        <v xml:space="preserve"> </v>
      </c>
      <c r="AA18" s="29" t="str">
        <f>IF(AND(H18&gt;0,[7]EvaluaciónRiesgoCorrup1!$F$11&gt;75,D18=2,E18=5),$E$24,IF(AND(H18&gt;0,[7]EvaluaciónRiesgoCorrup1!$F$11&gt;75,D18=2,E18=10),$F$24,IF(AND(H18&gt;0,[7]EvaluaciónRiesgoCorrup1!$F$11&gt;75,D18=2,E18=20),$G$24," ")))</f>
        <v xml:space="preserve"> </v>
      </c>
      <c r="AB18" s="29" t="str">
        <f>IF(AND(H18&gt;0,[7]EvaluaciónRiesgoCorrup1!$F$11&gt;75,D18=3,E18=5),$E$24,IF(AND(H18&gt;0,[7]EvaluaciónRiesgoCorrup1!$F$11&gt;75,D18=3,E18=10),$F$24,IF(AND(H18&gt;0,[7]EvaluaciónRiesgoCorrup1!$F$11&gt;75,D18=3,E18=20),$G$24," ")))</f>
        <v xml:space="preserve"> </v>
      </c>
      <c r="AC18" s="29" t="str">
        <f>IF(AND(H18&gt;0,[7]EvaluaciónRiesgoCorrup1!$F$11&gt;75,D18=4,E18=5),$E$25,IF(AND(H18&gt;0,[7]EvaluaciónRiesgoCorrup1!$F$11&gt;75,D18=4,E18=10),$F$25,IF(AND(H18&gt;0,[7]EvaluaciónRiesgoCorrup1!$F$11&gt;75,D18=4,E18=20),$G$25," ")))</f>
        <v xml:space="preserve"> </v>
      </c>
      <c r="AD18" s="29" t="str">
        <f>IF(AND(H18&gt;0,[7]EvaluaciónRiesgoCorrup1!$F$11&gt;75,D18=5,E18=5),$E$26,IF(AND(H18&gt;0,[7]EvaluaciónRiesgoCorrup1!$F$11&gt;75,D18=5,E18=10),$F$26,IF(AND(H18&gt;0,[7]EvaluaciónRiesgoCorrup1!$F$11&gt;75,D18=5,E18=20),$G$26," ")))</f>
        <v xml:space="preserve"> </v>
      </c>
      <c r="AF18" s="29" t="str">
        <f>IF(AND(H18&gt;0,[7]EvaluaciónRiesgoCorrup1!$F$11&gt;50,[7]EvaluaciónRiesgoCorrup1!$F$11&lt;76,D18=1,E18=5),$E$24,IF(AND(H18&gt;0,[7]EvaluaciónRiesgoCorrup1!$F$11&gt;50,[7]EvaluaciónRiesgoCorrup1!$F$11&lt;76,D18=1,E18=10),$F$24,IF(AND(H18&gt;0,[7]EvaluaciónRiesgoCorrup1!$F$11&gt;50,[7]EvaluaciónRiesgoCorrup1!$F$11&lt;76,D18=1,E18=20),$G$24," ")))</f>
        <v xml:space="preserve"> </v>
      </c>
      <c r="AG18" s="29" t="str">
        <f>IF(AND(H18&gt;0,[7]EvaluaciónRiesgoCorrup1!$F$11&gt;50,[7]EvaluaciónRiesgoCorrup1!$F$11&lt;76,D18=2,E18=5),$E$24,IF(AND(H18&gt;0,[7]EvaluaciónRiesgoCorrup1!$F$11&gt;50,[7]EvaluaciónRiesgoCorrup1!$F$11&lt;76,D18=2,E18=10),$F$24,IF(AND(H18&gt;0,[7]EvaluaciónRiesgoCorrup1!$F$11&gt;50,[7]EvaluaciónRiesgoCorrup1!$F$11&lt;76,D18=2,E18=20),$G$24," ")))</f>
        <v xml:space="preserve"> </v>
      </c>
      <c r="AH18" s="29" t="str">
        <f>IF(AND(H18&gt;0,[7]EvaluaciónRiesgoCorrup1!$F$11&gt;50,[7]EvaluaciónRiesgoCorrup1!$F$11&lt;76,D18=3,E18=5),$E$25,IF(AND(H18&gt;0,[7]EvaluaciónRiesgoCorrup1!$F$11&gt;50,[7]EvaluaciónRiesgoCorrup1!$F$11&lt;76,D18=3,E18=10),$F$25,IF(AND(H18&gt;0,[7]EvaluaciónRiesgoCorrup1!$F$11&gt;50,[7]EvaluaciónRiesgoCorrup1!$F$11&lt;76,D18=3,E18=20),$G$25," ")))</f>
        <v xml:space="preserve"> </v>
      </c>
      <c r="AI18" s="29" t="str">
        <f>IF(AND(H18&gt;0,[7]EvaluaciónRiesgoCorrup1!$F$11&gt;50,[7]EvaluaciónRiesgoCorrup1!$F$11&lt;76,D18=4,E18=5),$E$26,IF(AND(H18&gt;0,[7]EvaluaciónRiesgoCorrup1!$F$11&gt;50,[7]EvaluaciónRiesgoCorrup1!$F$11&lt;76,D18=4,E18=10),$F$26,IF(AND(H18&gt;0,[7]EvaluaciónRiesgoCorrup1!$F$11&gt;50,[7]EvaluaciónRiesgoCorrup1!$F$11&lt;76,D18=4,E18=20),$G$26," ")))</f>
        <v xml:space="preserve"> </v>
      </c>
      <c r="AJ18" s="29" t="str">
        <f>IF(AND(H18&gt;0,[7]EvaluaciónRiesgoCorrup1!$F$11&gt;50,[7]EvaluaciónRiesgoCorrup1!$F$11&lt;76,D18=5,E18=5),$E$27,IF(AND(H18&gt;0,[7]EvaluaciónRiesgoCorrup1!$F$11&gt;50,[7]EvaluaciónRiesgoCorrup1!$F$11&lt;76,D18=5,E18=10),$F$27,IF(AND(H18&gt;0,[7]EvaluaciónRiesgoCorrup1!$F$11&gt;50,[7]EvaluaciónRiesgoCorrup1!$F$11&lt;76,D18=5,E18=20),$G$27," ")))</f>
        <v xml:space="preserve"> </v>
      </c>
      <c r="AM18" s="29" t="str">
        <f>IF(AND(H18&gt;0,[7]EvaluaciónRiesgoCorrup1!$F$11&lt;51,D18=1,E18=5),$E$24,IF(AND(H18&gt;0,[7]EvaluaciónRiesgoCorrup1!$F$11&lt;51,D18=1,E18=10),$F$24,IF(AND(H18&gt;0,[7]EvaluaciónRiesgoCorrup1!$F$11&lt;51,D18=1,E18=20),G$24," ")))</f>
        <v xml:space="preserve"> </v>
      </c>
      <c r="AN18" s="29" t="str">
        <f>IF(AND(H18&gt;0,[7]EvaluaciónRiesgoCorrup1!$F$11&lt;51,D18=2,E18=5),$E$25,IF(AND(H18&gt;0,[7]EvaluaciónRiesgoCorrup1!$F$11&lt;51,D18=2,E18=10),$F$25,IF(AND(H18&gt;0,[7]EvaluaciónRiesgoCorrup1!$F$11&lt;51,D18=2,E18=20),G$25," ")))</f>
        <v xml:space="preserve"> </v>
      </c>
      <c r="AO18" s="29" t="str">
        <f>IF(AND(H18&gt;0,[7]EvaluaciónRiesgoCorrup1!$F$11&lt;51,D18=3,E18=5),$E$26,IF(AND(H18&gt;0,[7]EvaluaciónRiesgoCorrup1!$F$11&lt;51,D18=3,E18=10),$F$26,IF(AND(H18&gt;0,[7]EvaluaciónRiesgoCorrup1!$F$11&lt;51,D18=3,E18=20),G$26," ")))</f>
        <v xml:space="preserve"> </v>
      </c>
      <c r="AP18" s="29" t="str">
        <f>IF(AND(H18&gt;0,[7]EvaluaciónRiesgoCorrup1!$F$11&lt;51,D18=4,E18=5),$E$27,IF(AND(H18&gt;0,[7]EvaluaciónRiesgoCorrup1!$F$11&lt;51,D18=4,E18=10),$F$27,IF(AND(H18&gt;0,[7]EvaluaciónRiesgoCorrup1!$F$11&lt;51,D18=4,E18=20),G$27," ")))</f>
        <v xml:space="preserve"> </v>
      </c>
      <c r="AQ18" s="29" t="str">
        <f>IF(AND(H18&gt;0,[7]EvaluaciónRiesgoCorrup1!$F$11&lt;51,D18=5,E18=5),$E$28,IF(AND(H18&gt;0,[7]EvaluaciónRiesgoCorrup1!$F$11&lt;51,D18=5,E18=10),$F$28,IF(AND(H18&gt;0,[7]EvaluaciónRiesgoCorrup1!$F$11&lt;51,D18=5,E18=20),G$28," ")))</f>
        <v xml:space="preserve"> </v>
      </c>
      <c r="AU18" s="29" t="str">
        <f>IF(AND(I18&gt;0,[7]EvaluaciónRiesgoCorrup1!$F$11&gt;75,D18=1,E18=5),$E$24,IF(AND(I18&gt;0,[7]EvaluaciónRiesgoCorrup1!$F$11&gt;75,D18=1,E18=10),$E$24,IF(AND(I18&gt;0,[7]EvaluaciónRiesgoCorrup1!$F$11&gt;75,D18=1,E18=20),$E$24," ")))</f>
        <v xml:space="preserve"> </v>
      </c>
      <c r="AV18" s="29" t="str">
        <f>IF(AND(I18&gt;0,[7]EvaluaciónRiesgoCorrup1!$F$11&gt;75,D18=2,E18=5),$E$25,IF(AND(I18&gt;0,[7]EvaluaciónRiesgoCorrup1!$F$11&gt;75,D18=2,E18=10),$E$25,IF(AND(I18&gt;0,[7]EvaluaciónRiesgoCorrup1!$F$11&gt;75,D18=2,E18=20),$E$25," ")))</f>
        <v xml:space="preserve"> </v>
      </c>
      <c r="AW18" s="29" t="str">
        <f>IF(AND(I18&gt;0,[7]EvaluaciónRiesgoCorrup1!$F$11&gt;75,D18=3,E18=5),$E$26,IF(AND(I18&gt;0,[7]EvaluaciónRiesgoCorrup1!$F$11&gt;75,D18=3,E18=10),$E$26,IF(AND(I18&gt;0,[7]EvaluaciónRiesgoCorrup1!$F$11&gt;75,D18=3,E18=20),$E$26," ")))</f>
        <v xml:space="preserve"> </v>
      </c>
      <c r="AX18" s="29" t="str">
        <f>IF(AND(I18&gt;0,[7]EvaluaciónRiesgoCorrup1!$F$11&gt;75,D18=4,E18=5),$E$27,IF(AND(I18&gt;0,[7]EvaluaciónRiesgoCorrup1!$F$11&gt;75,D18=4,E18=10),$E$27,IF(AND(I18&gt;0,[7]EvaluaciónRiesgoCorrup1!$F$11&gt;75,D18=4,E18=20),$E$27," ")))</f>
        <v xml:space="preserve"> </v>
      </c>
      <c r="AY18" s="29" t="str">
        <f>IF(AND(I18&gt;0,[7]EvaluaciónRiesgoCorrup1!$F$11&gt;75,D18=5,E18=5),$E$28,IF(AND(I18&gt;0,[7]EvaluaciónRiesgoCorrup1!$F$11&gt;75,D18=5,E18=10),$E$28,IF(AND(I18&gt;0,[7]EvaluaciónRiesgoCorrup1!$F$11&gt;75,D18=5,E18=20),$E$28," ")))</f>
        <v xml:space="preserve"> </v>
      </c>
      <c r="BB18" s="29" t="str">
        <f>IF(AND(I18&gt;0,[7]EvaluaciónRiesgoCorrup1!$F$11&gt;50,[7]EvaluaciónRiesgoCorrup1!$F$11&lt;76,D18=1,E18=5),$E$24,IF(AND(I18&gt;0,[7]EvaluaciónRiesgoCorrup1!$F$11&gt;50,[7]EvaluaciónRiesgoCorrup1!$F$11&lt;76,D18=1,E18=10),$E$24,IF(AND(I18&gt;0,[7]EvaluaciónRiesgoCorrup1!$F$11&gt;50,[7]EvaluaciónRiesgoCorrup1!$F$11&lt;76,D18=1,E18=20),$F$24," ")))</f>
        <v xml:space="preserve"> </v>
      </c>
      <c r="BC18" s="29" t="str">
        <f>IF(AND(I18&gt;0,[7]EvaluaciónRiesgoCorrup1!$F$11&gt;50,[7]EvaluaciónRiesgoCorrup1!$F$11&lt;76,D18=2,E18=5),$E$25,IF(AND(I18&gt;0,[7]EvaluaciónRiesgoCorrup1!$F$11&gt;50,[7]EvaluaciónRiesgoCorrup1!$F$11&lt;76,D18=2,E18=10),$E$25,IF(AND(I18&gt;0,[7]EvaluaciónRiesgoCorrup1!$F$11&gt;50,[7]EvaluaciónRiesgoCorrup1!$F$11&lt;76,D18=2,E18=20),$F$25," ")))</f>
        <v xml:space="preserve"> </v>
      </c>
      <c r="BD18" s="29" t="str">
        <f>IF(AND(I18&gt;0,[7]EvaluaciónRiesgoCorrup1!$F$11&gt;50,[7]EvaluaciónRiesgoCorrup1!$F$11&lt;76,D18=3,E18=5),$E$26,IF(AND(I18&gt;0,[7]EvaluaciónRiesgoCorrup1!$F$11&gt;50,[7]EvaluaciónRiesgoCorrup1!$F$11&lt;76,D18=3,E18=10),$E$26,IF(AND(I18&gt;0,[7]EvaluaciónRiesgoCorrup1!$F$11&gt;50,[7]EvaluaciónRiesgoCorrup1!$F$11&lt;76,D18=3,E18=20),$F$26," ")))</f>
        <v xml:space="preserve"> </v>
      </c>
      <c r="BE18" s="29" t="str">
        <f>IF(AND(I18&gt;0,[7]EvaluaciónRiesgoCorrup1!$F$11&gt;50,[7]EvaluaciónRiesgoCorrup1!$F$11&lt;76,D18=4,E18=5),$E$27,IF(AND(I18&gt;0,[7]EvaluaciónRiesgoCorrup1!$F$11&gt;50,[7]EvaluaciónRiesgoCorrup1!$F$11&lt;76,D18=4,E18=10),$E$27,IF(AND(I18&gt;0,[7]EvaluaciónRiesgoCorrup1!$F$11&gt;50,[7]EvaluaciónRiesgoCorrup1!$F$11&lt;76,D18=4,E18=20),$F$27," ")))</f>
        <v xml:space="preserve"> </v>
      </c>
      <c r="BF18" s="29" t="str">
        <f>IF(AND(I18&gt;0,[7]EvaluaciónRiesgoCorrup1!$F$11&gt;50,[7]EvaluaciónRiesgoCorrup1!$F$11&lt;76,D18=5,E18=5),$E$28,IF(AND(I18&gt;0,[7]EvaluaciónRiesgoCorrup1!$F$11&gt;50,[7]EvaluaciónRiesgoCorrup1!$F$11&lt;76,D18=5,E18=10),$E$28,IF(AND(I18&gt;0,[7]EvaluaciónRiesgoCorrup1!$F$11&gt;50,[7]EvaluaciónRiesgoCorrup1!$F$11&lt;76,D18=5,E18=20),$F$28," ")))</f>
        <v xml:space="preserve"> </v>
      </c>
      <c r="BI18" s="29" t="str">
        <f>IF(AND(I18&gt;0,[7]EvaluaciónRiesgoCorrup1!$F$11&lt;51,D18=1,E18=5),$E$24,IF(AND(I18&gt;0,[7]EvaluaciónRiesgoCorrup1!$F$11&lt;51,D18=1,E18=10),$F$24,IF(AND(I18&gt;0,[7]EvaluaciónRiesgoCorrup1!$F$11&lt;51,D18=1,E18=20),$G$24," ")))</f>
        <v xml:space="preserve"> </v>
      </c>
      <c r="BJ18" s="29" t="str">
        <f>IF(AND(I18&gt;0,[7]EvaluaciónRiesgoCorrup1!$F$11&lt;51,D18=2,E18=5),$E$25,IF(AND(I18&gt;0,[7]EvaluaciónRiesgoCorrup1!$F$11&lt;51,D18=2,E18=10),$F$25,IF(AND(I18&gt;0,[7]EvaluaciónRiesgoCorrup1!$F$11&lt;51,D18=2,E18=20),$G$25," ")))</f>
        <v xml:space="preserve"> </v>
      </c>
      <c r="BK18" s="29" t="str">
        <f>IF(AND(I18&gt;0,[7]EvaluaciónRiesgoCorrup1!$F$11&lt;51,D18=3,E18=5),$E$26,IF(AND(I18&gt;0,[7]EvaluaciónRiesgoCorrup1!$F$11&lt;51,D18=3,E18=10),$F$26,IF(AND(I18&gt;0,[7]EvaluaciónRiesgoCorrup1!$F$11&lt;51,D18=3,E18=20),$G$26," ")))</f>
        <v xml:space="preserve"> </v>
      </c>
      <c r="BL18" s="29" t="str">
        <f>IF(AND(I18&gt;0,[7]EvaluaciónRiesgoCorrup1!$F$11&lt;51,D18=4,E18=5),$E$27,IF(AND(I18&gt;0,[7]EvaluaciónRiesgoCorrup1!$F$11&lt;51,D18=4,E18=10),$F$27,IF(AND(I18&gt;0,[7]EvaluaciónRiesgoCorrup1!$F$11&lt;51,D18=4,E18=20),$G$27," ")))</f>
        <v xml:space="preserve"> </v>
      </c>
      <c r="BM18" s="29" t="str">
        <f>IF(AND(I18&gt;0,[7]EvaluaciónRiesgoCorrup1!$F$11&lt;51,D18=5,E18=5),$E$28,IF(AND(I18&gt;0,[7]EvaluaciónRiesgoCorrup1!$F$11&lt;51,D18=5,E18=10),$F$28,IF(AND(I18&gt;0,[7]EvaluaciónRiesgoCorrup1!$F$11&lt;51,D18=5,E18=20),$G$28," ")))</f>
        <v xml:space="preserve"> </v>
      </c>
    </row>
    <row r="19" spans="1:65" x14ac:dyDescent="0.25">
      <c r="A19" s="71"/>
      <c r="B19" s="22"/>
      <c r="C19" s="22"/>
    </row>
    <row r="20" spans="1:65" x14ac:dyDescent="0.25">
      <c r="A20" s="29"/>
      <c r="B20" s="31"/>
      <c r="C20" s="31"/>
    </row>
    <row r="21" spans="1:65" ht="15" thickBot="1" x14ac:dyDescent="0.3">
      <c r="A21" s="29"/>
      <c r="B21" s="31"/>
      <c r="C21" s="31"/>
      <c r="E21" s="33"/>
      <c r="F21" s="33"/>
    </row>
    <row r="22" spans="1:65" ht="15.75" thickBot="1" x14ac:dyDescent="0.3">
      <c r="A22" s="6"/>
      <c r="B22" s="34"/>
      <c r="C22" s="34"/>
      <c r="D22" s="114" t="s">
        <v>28</v>
      </c>
      <c r="E22" s="116" t="s">
        <v>12</v>
      </c>
      <c r="F22" s="116"/>
      <c r="G22" s="117"/>
      <c r="H22" s="2"/>
      <c r="L22" s="5"/>
      <c r="N22" s="2"/>
    </row>
    <row r="23" spans="1:65" ht="32.25" customHeight="1" thickBot="1" x14ac:dyDescent="0.3">
      <c r="A23" s="5"/>
      <c r="B23" s="35" t="s">
        <v>46</v>
      </c>
      <c r="C23" s="35"/>
      <c r="D23" s="115"/>
      <c r="E23" s="36" t="s">
        <v>47</v>
      </c>
      <c r="F23" s="37" t="s">
        <v>48</v>
      </c>
      <c r="G23" s="36" t="s">
        <v>49</v>
      </c>
      <c r="H23" s="2"/>
      <c r="L23" s="5"/>
      <c r="N23" s="2"/>
    </row>
    <row r="24" spans="1:65" ht="15.75" thickBot="1" x14ac:dyDescent="0.3">
      <c r="B24" s="5" t="s">
        <v>50</v>
      </c>
      <c r="D24" s="38" t="s">
        <v>51</v>
      </c>
      <c r="E24" s="39" t="s">
        <v>52</v>
      </c>
      <c r="F24" s="39" t="s">
        <v>52</v>
      </c>
      <c r="G24" s="40" t="s">
        <v>53</v>
      </c>
      <c r="H24" s="2"/>
      <c r="L24" s="5"/>
      <c r="N24" s="2"/>
    </row>
    <row r="25" spans="1:65" ht="15.75" thickBot="1" x14ac:dyDescent="0.3">
      <c r="D25" s="38" t="s">
        <v>54</v>
      </c>
      <c r="E25" s="39" t="s">
        <v>52</v>
      </c>
      <c r="F25" s="40" t="s">
        <v>53</v>
      </c>
      <c r="G25" s="41" t="s">
        <v>55</v>
      </c>
      <c r="H25" s="2"/>
      <c r="L25" s="5"/>
      <c r="N25" s="2"/>
    </row>
    <row r="26" spans="1:65" ht="15.75" thickBot="1" x14ac:dyDescent="0.3">
      <c r="D26" s="38" t="s">
        <v>56</v>
      </c>
      <c r="E26" s="40" t="s">
        <v>53</v>
      </c>
      <c r="F26" s="41" t="s">
        <v>55</v>
      </c>
      <c r="G26" s="42" t="s">
        <v>57</v>
      </c>
      <c r="H26" s="2"/>
      <c r="L26" s="5"/>
      <c r="N26" s="2"/>
    </row>
    <row r="27" spans="1:65" ht="15.75" thickBot="1" x14ac:dyDescent="0.3">
      <c r="D27" s="38" t="s">
        <v>58</v>
      </c>
      <c r="E27" s="40" t="s">
        <v>53</v>
      </c>
      <c r="F27" s="41" t="s">
        <v>55</v>
      </c>
      <c r="G27" s="42" t="s">
        <v>57</v>
      </c>
      <c r="H27" s="2"/>
      <c r="L27" s="5"/>
      <c r="N27" s="2"/>
    </row>
    <row r="28" spans="1:65" ht="15.75" thickBot="1" x14ac:dyDescent="0.3">
      <c r="D28" s="38" t="s">
        <v>59</v>
      </c>
      <c r="E28" s="40" t="s">
        <v>53</v>
      </c>
      <c r="F28" s="41" t="s">
        <v>55</v>
      </c>
      <c r="G28" s="42" t="s">
        <v>57</v>
      </c>
      <c r="H28" s="2"/>
      <c r="L28" s="5"/>
      <c r="N28" s="2"/>
    </row>
    <row r="29" spans="1:65" x14ac:dyDescent="0.25">
      <c r="D29" s="2"/>
      <c r="E29" s="2"/>
      <c r="F29" s="2"/>
      <c r="G29" s="5"/>
      <c r="I29" s="5"/>
    </row>
    <row r="30" spans="1:65" ht="15" x14ac:dyDescent="0.25">
      <c r="D30" s="43" t="s">
        <v>60</v>
      </c>
      <c r="E30" s="2"/>
      <c r="F30" s="2"/>
      <c r="G30" s="5"/>
      <c r="I30" s="5"/>
      <c r="J30" s="5"/>
      <c r="K30" s="5"/>
    </row>
    <row r="31" spans="1:65" ht="15" x14ac:dyDescent="0.25">
      <c r="D31" s="44" t="s">
        <v>61</v>
      </c>
      <c r="E31" s="2"/>
      <c r="F31" s="2"/>
      <c r="G31" s="5"/>
      <c r="I31" s="5"/>
      <c r="J31" s="5"/>
      <c r="K31" s="5"/>
    </row>
    <row r="32" spans="1:65" ht="15" x14ac:dyDescent="0.25">
      <c r="D32" s="45" t="s">
        <v>62</v>
      </c>
      <c r="E32" s="2"/>
      <c r="F32" s="2"/>
      <c r="G32" s="5"/>
      <c r="I32" s="5"/>
      <c r="J32" s="5"/>
      <c r="K32" s="5"/>
    </row>
    <row r="33" spans="4:11" ht="15" x14ac:dyDescent="0.25">
      <c r="D33" s="46" t="s">
        <v>63</v>
      </c>
      <c r="E33" s="2"/>
      <c r="F33" s="2"/>
      <c r="G33" s="5"/>
      <c r="I33" s="5"/>
      <c r="J33" s="5"/>
      <c r="K33"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2:D23"/>
    <mergeCell ref="E22:G22"/>
    <mergeCell ref="K15:M15"/>
  </mergeCells>
  <conditionalFormatting sqref="F17:F18 J17:J18">
    <cfRule type="containsText" dxfId="39" priority="1" operator="containsText" text="E">
      <formula>NOT(ISERROR(SEARCH("E",F17)))</formula>
    </cfRule>
    <cfRule type="containsText" dxfId="38" priority="2" operator="containsText" text="M">
      <formula>NOT(ISERROR(SEARCH("M",F17)))</formula>
    </cfRule>
    <cfRule type="containsText" dxfId="37" priority="3" operator="containsText" text="A">
      <formula>NOT(ISERROR(SEARCH("A",F17)))</formula>
    </cfRule>
    <cfRule type="containsText" dxfId="36" priority="4" operator="containsText" text="B">
      <formula>NOT(ISERROR(SEARCH("B",F17)))</formula>
    </cfRule>
  </conditionalFormatting>
  <dataValidations count="2">
    <dataValidation type="list" allowBlank="1" showInputMessage="1" showErrorMessage="1" sqref="H19:J19">
      <formula1>#REF!</formula1>
    </dataValidation>
    <dataValidation type="list" allowBlank="1" showInputMessage="1" showErrorMessage="1" sqref="K19:L19">
      <formula1>$F$30:$F$33</formula1>
    </dataValidation>
  </dataValidations>
  <pageMargins left="0.7" right="0.7" top="0.75" bottom="0.75" header="0.3" footer="0.3"/>
  <pageSetup scale="2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4"/>
  <sheetViews>
    <sheetView showGridLines="0" view="pageBreakPreview" zoomScale="30" zoomScaleNormal="60" zoomScaleSheetLayoutView="3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30" style="2" customWidth="1"/>
    <col min="11" max="11" width="36.28515625" style="2" customWidth="1"/>
    <col min="12" max="12" width="19.85546875" style="2" customWidth="1"/>
    <col min="13" max="13" width="17" style="2" customWidth="1"/>
    <col min="14" max="14" width="36.42578125" style="5" customWidth="1"/>
    <col min="15" max="15" width="26.5703125" style="2" customWidth="1"/>
    <col min="16" max="18" width="30.42578125" style="2" customWidth="1"/>
    <col min="19" max="19" width="36" style="2" hidden="1" customWidth="1"/>
    <col min="20" max="68" width="11.42578125" style="2" hidden="1"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[8]IdentRiesgo!B2</f>
        <v xml:space="preserve">Gestión Jurídica y Contractual </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[8]IdentRiesgo!B3</f>
        <v>Asesorar a las diferentes dependencias del Instituto en temas de carácter contractual en sus diferentes etapas (precontractual, contractual y postcontractual), verificando que las mismas se ajustan a la normatividad vigente.</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75</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1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18" t="s">
        <v>28</v>
      </c>
      <c r="E16" s="18" t="s">
        <v>12</v>
      </c>
      <c r="F16" s="18" t="s">
        <v>29</v>
      </c>
      <c r="G16" s="107"/>
      <c r="H16" s="19" t="s">
        <v>28</v>
      </c>
      <c r="I16" s="19" t="s">
        <v>12</v>
      </c>
      <c r="J16" s="20" t="s">
        <v>29</v>
      </c>
      <c r="K16" s="18" t="s">
        <v>30</v>
      </c>
      <c r="L16" s="18" t="s">
        <v>26</v>
      </c>
      <c r="M16" s="18" t="s">
        <v>31</v>
      </c>
      <c r="N16" s="110"/>
      <c r="O16" s="110"/>
      <c r="P16" s="110"/>
      <c r="Q16" s="110"/>
    </row>
    <row r="17" spans="1:65" ht="153.75" customHeight="1" x14ac:dyDescent="0.25">
      <c r="A17" s="22" t="str">
        <f>[8]IdentRiesgo!A6</f>
        <v>Desconocer las características
intrínsecas del bien y/o servicio
que se desea contratar además
de la falta de control asociado
al proceso de contratación.
Falta de control sobre la calidad de los documentos previos y desconocimiento de las características del bien y/o servicio que se pretende contratar.
Adendas que cambian condiciones generales del proceso.</v>
      </c>
      <c r="B17" s="22" t="str">
        <f>[8]IdentRiesgo!B6</f>
        <v>Direccionar los procesos hacia
un grupo en particular</v>
      </c>
      <c r="C17" s="22" t="str">
        <f>[8]IdentRiesgo!D6</f>
        <v>No cumplir con los principios de la contratación estatal, en especial con la de selección objetiva. Se incurra en diferentes tipos penales relacionados con la contratación pública. Se incurra en conductas de tipo disciplinario y fiscal.</v>
      </c>
      <c r="D17" s="23">
        <f>IF([8]AnálisisRiesgo!B9&gt;0,5,IF([8]AnálisisRiesgo!C9&gt;0,4,IF([8]AnálisisRiesgo!D9&gt;0,3,IF([8]AnálisisRiesgo!E9&gt;0,2,IF([8]AnálisisRiesgo!F9&gt;0,1,"")))))</f>
        <v>1</v>
      </c>
      <c r="E17" s="23">
        <f>IF([8]AnálisisRiesgo!G9&gt;0,5,IF([8]AnálisisRiesgo!H9&gt;0,4,IF([8]AnálisisRiesgo!I9&gt;0,3,IF([8]AnálisisRiesgo!J9&gt;0,2,IF([8]AnálisisRiesgo!K9&gt;0,1,IF([8]AnálisisRiesgo!L9&gt;0,20,IF([8]AnálisisRiesgo!M9&gt;0,10,IF([8]AnálisisRiesgo!N9&gt;0,5,""))))))))</f>
        <v>20</v>
      </c>
      <c r="F17" s="23" t="str">
        <f>CONCATENATE(S17,T17,U17,V17,W17)</f>
        <v xml:space="preserve">M    </v>
      </c>
      <c r="G17" s="23" t="s">
        <v>76</v>
      </c>
      <c r="H17" s="25"/>
      <c r="I17" s="26" t="s">
        <v>32</v>
      </c>
      <c r="J17" s="23" t="str">
        <f>CONCATENATE(Z17,AA17,AB17,AC17,AD17,AF17,AG17,AH17,AI17,AJ17,AM17,AN17,AO17,AP17,AQ17,AU17,AV17,AW17,AX17,AY17,BB17,BC17,BD17,BE17,BF17,BI17,BJ17,BK17,BL17,BM17)</f>
        <v xml:space="preserve">               B              </v>
      </c>
      <c r="K17" s="23" t="s">
        <v>77</v>
      </c>
      <c r="L17" s="23" t="s">
        <v>78</v>
      </c>
      <c r="M17" s="23" t="s">
        <v>79</v>
      </c>
      <c r="N17" s="27"/>
      <c r="O17" s="27"/>
      <c r="P17" s="27"/>
      <c r="Q17" s="29"/>
      <c r="S17" s="29" t="str">
        <f>IF(AND(D17=1,E17=5),$E$25,IF(AND(D17=1,E17=10),$F$25,IF(AND(D17=1,E17=20),$G$25," ")))</f>
        <v>M</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IF(AND(H17&gt;0,[9]EvaluaciónRiesgoCorrup!$F$11&gt;75,D17=1,E17=5),$E$25,IF(AND(H17&gt;0,[9]EvaluaciónRiesgoCorrup!$F$11&gt;75,D17=1,E17=10),$F$25,IF(AND(H17&gt;0,[9]EvaluaciónRiesgoCorrup!$F$11&gt;75,D17=1,E17=20),$G$25," ")))</f>
        <v xml:space="preserve"> </v>
      </c>
      <c r="AA17" s="29" t="str">
        <f>IF(AND(H17&gt;0,[9]EvaluaciónRiesgoCorrup!$F$11&gt;75,D17=2,E17=5),$E$25,IF(AND(H17&gt;0,[9]EvaluaciónRiesgoCorrup!$F$11&gt;75,D17=2,E17=10),$F$25,IF(AND(H17&gt;0,[9]EvaluaciónRiesgoCorrup!$F$11&gt;75,D17=2,E17=20),$G$25," ")))</f>
        <v xml:space="preserve"> </v>
      </c>
      <c r="AB17" s="29" t="str">
        <f>IF(AND(H17&gt;0,[9]EvaluaciónRiesgoCorrup!$F$11&gt;75,D17=3,E17=5),$E$25,IF(AND(H17&gt;0,[9]EvaluaciónRiesgoCorrup!$F$11&gt;75,D17=3,E17=10),$F$25,IF(AND(H17&gt;0,[9]EvaluaciónRiesgoCorrup!$F$11&gt;75,D17=3,E17=20),$G$25," ")))</f>
        <v xml:space="preserve"> </v>
      </c>
      <c r="AC17" s="29" t="str">
        <f>IF(AND(H17&gt;0,[9]EvaluaciónRiesgoCorrup!$F$11&gt;75,D17=4,E17=5),$E$26,IF(AND(H17&gt;0,[9]EvaluaciónRiesgoCorrup!$F$11&gt;75,D17=4,E17=10),$F$26,IF(AND(H17&gt;0,[9]EvaluaciónRiesgoCorrup!$F$11&gt;75,D17=4,E17=20),$G$26," ")))</f>
        <v xml:space="preserve"> </v>
      </c>
      <c r="AD17" s="29" t="str">
        <f>IF(AND(H17&gt;0,[9]EvaluaciónRiesgoCorrup!$F$11&gt;75,D17=5,E17=5),$E$27,IF(AND(H17&gt;0,[9]EvaluaciónRiesgoCorrup!$F$11&gt;75,D17=5,E17=10),$F$27,IF(AND(H17&gt;0,[9]EvaluaciónRiesgoCorrup!$F$11&gt;75,D17=5,E17=20),$G$27," ")))</f>
        <v xml:space="preserve"> </v>
      </c>
      <c r="AE17" s="30" t="s">
        <v>36</v>
      </c>
      <c r="AF17" s="29" t="str">
        <f>IF(AND(H17&gt;0,[9]EvaluaciónRiesgoCorrup!$F$11&gt;50,[9]EvaluaciónRiesgoCorrup!$F$11&lt;76,D17=1,E17=5),$E$25,IF(AND(H17&gt;0,[9]EvaluaciónRiesgoCorrup!$F$11&gt;50,[9]EvaluaciónRiesgoCorrup!$F$11&lt;76,D17=1,E17=10),$F$25,IF(AND(H17&gt;0,[9]EvaluaciónRiesgoCorrup!$F$11&gt;50,[9]EvaluaciónRiesgoCorrup!$F$11&lt;76,D17=1,E17=20),$G$25," ")))</f>
        <v xml:space="preserve"> </v>
      </c>
      <c r="AG17" s="29" t="str">
        <f>IF(AND(H17&gt;0,[9]EvaluaciónRiesgoCorrup!$F$11&gt;50,[9]EvaluaciónRiesgoCorrup!$F$11&lt;76,D17=2,E17=5),$E$25,IF(AND(H17&gt;0,[9]EvaluaciónRiesgoCorrup!$F$11&gt;50,[9]EvaluaciónRiesgoCorrup!$F$11&lt;76,D17=2,E17=10),$F$25,IF(AND(H17&gt;0,[9]EvaluaciónRiesgoCorrup!$F$11&gt;50,[9]EvaluaciónRiesgoCorrup!$F$11&lt;76,D17=2,E17=20),$G$25," ")))</f>
        <v xml:space="preserve"> </v>
      </c>
      <c r="AH17" s="29" t="str">
        <f>IF(AND(H17&gt;0,[9]EvaluaciónRiesgoCorrup!$F$11&gt;50,[9]EvaluaciónRiesgoCorrup!$F$11&lt;76,D17=3,E17=5),$E$26,IF(AND(H17&gt;0,[9]EvaluaciónRiesgoCorrup!$F$11&gt;50,[9]EvaluaciónRiesgoCorrup!$F$11&lt;76,D17=3,E17=10),$F$26,IF(AND(H17&gt;0,[9]EvaluaciónRiesgoCorrup!$F$11&gt;50,[9]EvaluaciónRiesgoCorrup!$F$11&lt;76,D17=3,E17=20),$G$26," ")))</f>
        <v xml:space="preserve"> </v>
      </c>
      <c r="AI17" s="29" t="str">
        <f>IF(AND(H17&gt;0,[9]EvaluaciónRiesgoCorrup!$F$11&gt;50,[9]EvaluaciónRiesgoCorrup!$F$11&lt;76,D17=4,E17=5),$E$27,IF(AND(H17&gt;0,[9]EvaluaciónRiesgoCorrup!$F$11&gt;50,[9]EvaluaciónRiesgoCorrup!$F$11&lt;76,D17=4,E17=10),$F$27,IF(AND(H17&gt;0,[9]EvaluaciónRiesgoCorrup!$F$11&gt;50,[9]EvaluaciónRiesgoCorrup!$F$11&lt;76,D17=4,E17=20),$G$27," ")))</f>
        <v xml:space="preserve"> </v>
      </c>
      <c r="AJ17" s="29" t="str">
        <f>IF(AND(H17&gt;0,[9]EvaluaciónRiesgoCorrup!$F$11&gt;50,[9]EvaluaciónRiesgoCorrup!$F$11&lt;76,D17=5,E17=5),$E$28,IF(AND(H17&gt;0,[9]EvaluaciónRiesgoCorrup!$F$11&gt;50,[9]EvaluaciónRiesgoCorrup!$F$11&lt;76,D17=5,E17=10),$F$28,IF(AND(H17&gt;0,[9]EvaluaciónRiesgoCorrup!$F$11&gt;50,[9]EvaluaciónRiesgoCorrup!$F$11&lt;76,D17=5,E17=20),$G$28," ")))</f>
        <v xml:space="preserve"> </v>
      </c>
      <c r="AL17" s="30" t="s">
        <v>37</v>
      </c>
      <c r="AM17" s="29" t="str">
        <f>IF(AND(H17&gt;0,[9]EvaluaciónRiesgoCorrup!$F$11&lt;51,D17=1,E17=5),$E$25,IF(AND(H17&gt;0,[9]EvaluaciónRiesgoCorrup!$F$11&lt;51,D17=1,E17=10),$F$25,IF(AND(H17&gt;0,[9]EvaluaciónRiesgoCorrup!$F$11&lt;51,D17=1,E17=20),G$25," ")))</f>
        <v xml:space="preserve"> </v>
      </c>
      <c r="AN17" s="29" t="str">
        <f>IF(AND(H17&gt;0,[9]EvaluaciónRiesgoCorrup!$F$11&lt;51,D17=2,E17=5),$E$26,IF(AND(H17&gt;0,[9]EvaluaciónRiesgoCorrup!$F$11&lt;51,D17=2,E17=10),$F$26,IF(AND(H17&gt;0,[9]EvaluaciónRiesgoCorrup!$F$11&lt;51,D17=2,E17=20),G$26," ")))</f>
        <v xml:space="preserve"> </v>
      </c>
      <c r="AO17" s="29" t="str">
        <f>IF(AND(H17&gt;0,[9]EvaluaciónRiesgoCorrup!$F$11&lt;51,D17=3,E17=5),$E$27,IF(AND(H17&gt;0,[9]EvaluaciónRiesgoCorrup!$F$11&lt;51,D17=3,E17=10),$F$27,IF(AND(H17&gt;0,[9]EvaluaciónRiesgoCorrup!$F$11&lt;51,D17=3,E17=20),G$27," ")))</f>
        <v xml:space="preserve"> </v>
      </c>
      <c r="AP17" s="29" t="str">
        <f>IF(AND(H17&gt;0,[9]EvaluaciónRiesgoCorrup!$F$11&lt;51,D17=4,E17=5),$E$28,IF(AND(H17&gt;0,[9]EvaluaciónRiesgoCorrup!$F$11&lt;51,D17=4,E17=10),$F$28,IF(AND(H17&gt;0,[9]EvaluaciónRiesgoCorrup!$F$11&lt;51,D17=4,E17=20),G$28," ")))</f>
        <v xml:space="preserve"> </v>
      </c>
      <c r="AQ17" s="29" t="str">
        <f>IF(AND(H17&gt;0,[9]EvaluaciónRiesgoCorrup!$F$11&lt;51,D17=5,E17=5),$E$29,IF(AND(H17&gt;0,[9]EvaluaciónRiesgoCorrup!$F$11&lt;51,D17=5,E17=10),$F$29,IF(AND(H17&gt;0,[9]EvaluaciónRiesgoCorrup!$F$11&lt;51,D17=5,E17=20),G$29," ")))</f>
        <v xml:space="preserve"> </v>
      </c>
      <c r="AT17" s="30" t="s">
        <v>35</v>
      </c>
      <c r="AU17" s="29" t="str">
        <f>IF(AND(I17&gt;0,[9]EvaluaciónRiesgoCorrup!$F$11&gt;75,D17=1,E17=5),$E$25,IF(AND(I17&gt;0,[9]EvaluaciónRiesgoCorrup!$F$11&gt;75,D17=1,E17=10),$E$25,IF(AND(I17&gt;0,[9]EvaluaciónRiesgoCorrup!$F$11&gt;75,D17=1,E17=20),$E$25," ")))</f>
        <v>B</v>
      </c>
      <c r="AV17" s="29" t="str">
        <f>IF(AND(I17&gt;0,[9]EvaluaciónRiesgoCorrup!$F$11&gt;75,D17=2,E17=5),$E$26,IF(AND(I17&gt;0,[9]EvaluaciónRiesgoCorrup!$F$11&gt;75,D17=2,E17=10),$E$26,IF(AND(I17&gt;0,[9]EvaluaciónRiesgoCorrup!$F$11&gt;75,D17=2,E17=20),$E$26," ")))</f>
        <v xml:space="preserve"> </v>
      </c>
      <c r="AW17" s="29" t="str">
        <f>IF(AND(I17&gt;0,[9]EvaluaciónRiesgoCorrup!$F$11&gt;75,D17=3,E17=5),$E$27,IF(AND(I17&gt;0,[9]EvaluaciónRiesgoCorrup!$F$11&gt;75,D17=3,E17=10),$E$27,IF(AND(I17&gt;0,[9]EvaluaciónRiesgoCorrup!$F$11&gt;75,D17=3,E17=20),$E$27," ")))</f>
        <v xml:space="preserve"> </v>
      </c>
      <c r="AX17" s="29" t="str">
        <f>IF(AND(I17&gt;0,[9]EvaluaciónRiesgoCorrup!$F$11&gt;75,D17=4,E17=5),$E$28,IF(AND(I17&gt;0,[9]EvaluaciónRiesgoCorrup!$F$11&gt;75,D17=4,E17=10),$E$28,IF(AND(I17&gt;0,[9]EvaluaciónRiesgoCorrup!$F$11&gt;75,D17=4,E17=20),$E$28," ")))</f>
        <v xml:space="preserve"> </v>
      </c>
      <c r="AY17" s="29" t="str">
        <f>IF(AND(I17&gt;0,[9]EvaluaciónRiesgoCorrup!$F$11&gt;75,D17=5,E17=5),$E$29,IF(AND(I17&gt;0,[9]EvaluaciónRiesgoCorrup!$F$11&gt;75,D17=5,E17=10),$E$29,IF(AND(I17&gt;0,[9]EvaluaciónRiesgoCorrup!$F$11&gt;75,D17=5,E17=20),$E$29," ")))</f>
        <v xml:space="preserve"> </v>
      </c>
      <c r="BA17" s="30" t="s">
        <v>36</v>
      </c>
      <c r="BB17" s="29" t="str">
        <f>IF(AND(I17&gt;0,[9]EvaluaciónRiesgoCorrup!$F$11&gt;50,[9]EvaluaciónRiesgoCorrup!$F$11&lt;76,D17=1,E17=5),$E$25,IF(AND(I17&gt;0,[9]EvaluaciónRiesgoCorrup!$F$11&gt;50,[9]EvaluaciónRiesgoCorrup!$F$11&lt;76,D17=1,E17=10),$E$25,IF(AND(I17&gt;0,[9]EvaluaciónRiesgoCorrup!$F$11&gt;50,[9]EvaluaciónRiesgoCorrup!$F$11&lt;76,D17=1,E17=20),$F$25," ")))</f>
        <v xml:space="preserve"> </v>
      </c>
      <c r="BC17" s="29" t="str">
        <f>IF(AND(I17&gt;0,[9]EvaluaciónRiesgoCorrup!$F$11&gt;50,[9]EvaluaciónRiesgoCorrup!$F$11&lt;76,D17=2,E17=5),$E$26,IF(AND(I17&gt;0,[9]EvaluaciónRiesgoCorrup!$F$11&gt;50,[9]EvaluaciónRiesgoCorrup!$F$11&lt;76,D17=2,E17=10),$E$26,IF(AND(I17&gt;0,[9]EvaluaciónRiesgoCorrup!$F$11&gt;50,[9]EvaluaciónRiesgoCorrup!$F$11&lt;76,D17=2,E17=20),$F$26," ")))</f>
        <v xml:space="preserve"> </v>
      </c>
      <c r="BD17" s="29" t="str">
        <f>IF(AND(I17&gt;0,[9]EvaluaciónRiesgoCorrup!$F$11&gt;50,[9]EvaluaciónRiesgoCorrup!$F$11&lt;76,D17=3,E17=5),$E$27,IF(AND(I17&gt;0,[9]EvaluaciónRiesgoCorrup!$F$11&gt;50,[9]EvaluaciónRiesgoCorrup!$F$11&lt;76,D17=3,E17=10),$E$27,IF(AND(I17&gt;0,[9]EvaluaciónRiesgoCorrup!$F$11&gt;50,[9]EvaluaciónRiesgoCorrup!$F$11&lt;76,D17=3,E17=20),$F$27," ")))</f>
        <v xml:space="preserve"> </v>
      </c>
      <c r="BE17" s="29" t="str">
        <f>IF(AND(I17&gt;0,[9]EvaluaciónRiesgoCorrup!$F$11&gt;50,[9]EvaluaciónRiesgoCorrup!$F$11&lt;76,D17=4,E17=5),$E$28,IF(AND(I17&gt;0,[9]EvaluaciónRiesgoCorrup!$F$11&gt;50,[9]EvaluaciónRiesgoCorrup!$F$11&lt;76,D17=4,E17=10),$E$28,IF(AND(I17&gt;0,[9]EvaluaciónRiesgoCorrup!$F$11&gt;50,[9]EvaluaciónRiesgoCorrup!$F$11&lt;76,D17=4,E17=20),$F$28," ")))</f>
        <v xml:space="preserve"> </v>
      </c>
      <c r="BF17" s="29" t="str">
        <f>IF(AND(I17&gt;0,[9]EvaluaciónRiesgoCorrup!$F$11&gt;50,[9]EvaluaciónRiesgoCorrup!$F$11&lt;76,D17=5,E17=5),$E$29,IF(AND(I17&gt;0,[9]EvaluaciónRiesgoCorrup!$F$11&gt;50,[9]EvaluaciónRiesgoCorrup!$F$11&lt;76,D17=5,E17=10),$E$29,IF(AND(I17&gt;0,[9]EvaluaciónRiesgoCorrup!$F$11&gt;50,[9]EvaluaciónRiesgoCorrup!$F$11&lt;76,D17=5,E17=20),$F$29," ")))</f>
        <v xml:space="preserve"> </v>
      </c>
      <c r="BH17" s="30" t="s">
        <v>37</v>
      </c>
      <c r="BI17" s="29" t="str">
        <f>IF(AND(I17&gt;0,[9]EvaluaciónRiesgoCorrup!$F$11&lt;51,D17=1,E17=5),$E$25,IF(AND(I17&gt;0,[9]EvaluaciónRiesgoCorrup!$F$11&lt;51,D17=1,E17=10),$F$25,IF(AND(I17&gt;0,[9]EvaluaciónRiesgoCorrup!$F$11&lt;51,D17=1,E17=20),$G$25," ")))</f>
        <v xml:space="preserve"> </v>
      </c>
      <c r="BJ17" s="29" t="str">
        <f>IF(AND(I17&gt;0,[9]EvaluaciónRiesgoCorrup!$F$11&lt;51,D17=2,E17=5),$E$26,IF(AND(I17&gt;0,[9]EvaluaciónRiesgoCorrup!$F$11&lt;51,D17=2,E17=10),$F$26,IF(AND(I17&gt;0,[9]EvaluaciónRiesgoCorrup!$F$11&lt;51,D17=2,E17=20),$G$26," ")))</f>
        <v xml:space="preserve"> </v>
      </c>
      <c r="BK17" s="29" t="str">
        <f>IF(AND(I17&gt;0,[9]EvaluaciónRiesgoCorrup!$F$11&lt;51,D17=3,E17=5),$E$27,IF(AND(I17&gt;0,[9]EvaluaciónRiesgoCorrup!$F$11&lt;51,D17=3,E17=10),$F$27,IF(AND(I17&gt;0,[9]EvaluaciónRiesgoCorrup!$F$11&lt;51,D17=3,E17=20),$G$27," ")))</f>
        <v xml:space="preserve"> </v>
      </c>
      <c r="BL17" s="29" t="str">
        <f>IF(AND(I17&gt;0,[9]EvaluaciónRiesgoCorrup!$F$11&lt;51,D17=4,E17=5),$E$28,IF(AND(I17&gt;0,[9]EvaluaciónRiesgoCorrup!$F$11&lt;51,D17=4,E17=10),$F$28,IF(AND(I17&gt;0,[9]EvaluaciónRiesgoCorrup!$F$11&lt;51,D17=4,E17=20),$G$28," ")))</f>
        <v xml:space="preserve"> </v>
      </c>
      <c r="BM17" s="29" t="str">
        <f>IF(AND(I17&gt;0,[9]EvaluaciónRiesgoCorrup!$F$11&lt;51,D17=5,E17=5),$E$29,IF(AND(I17&gt;0,[9]EvaluaciónRiesgoCorrup!$F$11&lt;51,D17=5,E17=10),$F$29,IF(AND(I17&gt;0,[9]EvaluaciónRiesgoCorrup!$F$11&lt;51,D17=5,E17=20),$G$29," ")))</f>
        <v xml:space="preserve"> </v>
      </c>
    </row>
    <row r="18" spans="1:65" ht="153.75" customHeight="1" x14ac:dyDescent="0.25">
      <c r="A18" s="22"/>
      <c r="B18" s="22"/>
      <c r="C18" s="22"/>
      <c r="D18" s="23"/>
      <c r="E18" s="23"/>
      <c r="F18" s="23"/>
      <c r="G18" s="24"/>
      <c r="H18" s="25"/>
      <c r="I18" s="26"/>
      <c r="J18" s="23"/>
      <c r="K18" s="23"/>
      <c r="L18" s="23"/>
      <c r="M18" s="23"/>
      <c r="N18" s="27"/>
      <c r="O18" s="27"/>
      <c r="P18" s="27"/>
      <c r="Q18" s="29"/>
      <c r="S18" s="29" t="str">
        <f>IF(AND(D18=1,E18=5),$E$25,IF(AND(D18=1,E18=10),$F$25,IF(AND(D18=1,E18=20),$G$25," ")))</f>
        <v xml:space="preserve"> </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IF(AND(H18&gt;0,[9]EvaluaciónRiesgoCorrup!$F$11&gt;75,D18=1,E18=5),$E$25,IF(AND(H18&gt;0,[9]EvaluaciónRiesgoCorrup!$F$11&gt;75,D18=1,E18=10),$F$25,IF(AND(H18&gt;0,[9]EvaluaciónRiesgoCorrup!$F$11&gt;75,D18=1,E18=20),$G$25," ")))</f>
        <v xml:space="preserve"> </v>
      </c>
      <c r="AA18" s="29" t="str">
        <f>IF(AND(H18&gt;0,[9]EvaluaciónRiesgoCorrup!$F$11&gt;75,D18=2,E18=5),$E$25,IF(AND(H18&gt;0,[9]EvaluaciónRiesgoCorrup!$F$11&gt;75,D18=2,E18=10),$F$25,IF(AND(H18&gt;0,[9]EvaluaciónRiesgoCorrup!$F$11&gt;75,D18=2,E18=20),$G$25," ")))</f>
        <v xml:space="preserve"> </v>
      </c>
      <c r="AB18" s="29" t="str">
        <f>IF(AND(H18&gt;0,[9]EvaluaciónRiesgoCorrup!$F$11&gt;75,D18=3,E18=5),$E$25,IF(AND(H18&gt;0,[9]EvaluaciónRiesgoCorrup!$F$11&gt;75,D18=3,E18=10),$F$25,IF(AND(H18&gt;0,[9]EvaluaciónRiesgoCorrup!$F$11&gt;75,D18=3,E18=20),$G$25," ")))</f>
        <v xml:space="preserve"> </v>
      </c>
      <c r="AC18" s="29" t="str">
        <f>IF(AND(H18&gt;0,[9]EvaluaciónRiesgoCorrup!$F$11&gt;75,D18=4,E18=5),$E$26,IF(AND(H18&gt;0,[9]EvaluaciónRiesgoCorrup!$F$11&gt;75,D18=4,E18=10),$F$26,IF(AND(H18&gt;0,[9]EvaluaciónRiesgoCorrup!$F$11&gt;75,D18=4,E18=20),$G$26," ")))</f>
        <v xml:space="preserve"> </v>
      </c>
      <c r="AD18" s="29" t="str">
        <f>IF(AND(H18&gt;0,[9]EvaluaciónRiesgoCorrup!$F$11&gt;75,D18=5,E18=5),$E$27,IF(AND(H18&gt;0,[9]EvaluaciónRiesgoCorrup!$F$11&gt;75,D18=5,E18=10),$F$27,IF(AND(H18&gt;0,[9]EvaluaciónRiesgoCorrup!$F$11&gt;75,D18=5,E18=20),$G$27," ")))</f>
        <v xml:space="preserve"> </v>
      </c>
      <c r="AF18" s="29" t="str">
        <f>IF(AND(H18&gt;0,[9]EvaluaciónRiesgoCorrup!$F$11&gt;50,[9]EvaluaciónRiesgoCorrup!$F$11&lt;76,D18=1,E18=5),$E$25,IF(AND(H18&gt;0,[9]EvaluaciónRiesgoCorrup!$F$11&gt;50,[9]EvaluaciónRiesgoCorrup!$F$11&lt;76,D18=1,E18=10),$F$25,IF(AND(H18&gt;0,[9]EvaluaciónRiesgoCorrup!$F$11&gt;50,[9]EvaluaciónRiesgoCorrup!$F$11&lt;76,D18=1,E18=20),$G$25," ")))</f>
        <v xml:space="preserve"> </v>
      </c>
      <c r="AG18" s="29" t="str">
        <f>IF(AND(H18&gt;0,[9]EvaluaciónRiesgoCorrup!$F$11&gt;50,[9]EvaluaciónRiesgoCorrup!$F$11&lt;76,D18=2,E18=5),$E$25,IF(AND(H18&gt;0,[9]EvaluaciónRiesgoCorrup!$F$11&gt;50,[9]EvaluaciónRiesgoCorrup!$F$11&lt;76,D18=2,E18=10),$F$25,IF(AND(H18&gt;0,[9]EvaluaciónRiesgoCorrup!$F$11&gt;50,[9]EvaluaciónRiesgoCorrup!$F$11&lt;76,D18=2,E18=20),$G$25," ")))</f>
        <v xml:space="preserve"> </v>
      </c>
      <c r="AH18" s="29" t="str">
        <f>IF(AND(H18&gt;0,[9]EvaluaciónRiesgoCorrup!$F$11&gt;50,[9]EvaluaciónRiesgoCorrup!$F$11&lt;76,D18=3,E18=5),$E$26,IF(AND(H18&gt;0,[9]EvaluaciónRiesgoCorrup!$F$11&gt;50,[9]EvaluaciónRiesgoCorrup!$F$11&lt;76,D18=3,E18=10),$F$26,IF(AND(H18&gt;0,[9]EvaluaciónRiesgoCorrup!$F$11&gt;50,[9]EvaluaciónRiesgoCorrup!$F$11&lt;76,D18=3,E18=20),$G$26," ")))</f>
        <v xml:space="preserve"> </v>
      </c>
      <c r="AI18" s="29" t="str">
        <f>IF(AND(H18&gt;0,[9]EvaluaciónRiesgoCorrup!$F$11&gt;50,[9]EvaluaciónRiesgoCorrup!$F$11&lt;76,D18=4,E18=5),$E$27,IF(AND(H18&gt;0,[9]EvaluaciónRiesgoCorrup!$F$11&gt;50,[9]EvaluaciónRiesgoCorrup!$F$11&lt;76,D18=4,E18=10),$F$27,IF(AND(H18&gt;0,[9]EvaluaciónRiesgoCorrup!$F$11&gt;50,[9]EvaluaciónRiesgoCorrup!$F$11&lt;76,D18=4,E18=20),$G$27," ")))</f>
        <v xml:space="preserve"> </v>
      </c>
      <c r="AJ18" s="29" t="str">
        <f>IF(AND(H18&gt;0,[9]EvaluaciónRiesgoCorrup!$F$11&gt;50,[9]EvaluaciónRiesgoCorrup!$F$11&lt;76,D18=5,E18=5),$E$28,IF(AND(H18&gt;0,[9]EvaluaciónRiesgoCorrup!$F$11&gt;50,[9]EvaluaciónRiesgoCorrup!$F$11&lt;76,D18=5,E18=10),$F$28,IF(AND(H18&gt;0,[9]EvaluaciónRiesgoCorrup!$F$11&gt;50,[9]EvaluaciónRiesgoCorrup!$F$11&lt;76,D18=5,E18=20),$G$28," ")))</f>
        <v xml:space="preserve"> </v>
      </c>
      <c r="AM18" s="29" t="str">
        <f>IF(AND(H18&gt;0,[9]EvaluaciónRiesgoCorrup!$F$11&lt;51,D18=1,E18=5),$E$25,IF(AND(H18&gt;0,[9]EvaluaciónRiesgoCorrup!$F$11&lt;51,D18=1,E18=10),$F$25,IF(AND(H18&gt;0,[9]EvaluaciónRiesgoCorrup!$F$11&lt;51,D18=1,E18=20),G$25," ")))</f>
        <v xml:space="preserve"> </v>
      </c>
      <c r="AN18" s="29" t="str">
        <f>IF(AND(H18&gt;0,[9]EvaluaciónRiesgoCorrup!$F$11&lt;51,D18=2,E18=5),$E$26,IF(AND(H18&gt;0,[9]EvaluaciónRiesgoCorrup!$F$11&lt;51,D18=2,E18=10),$F$26,IF(AND(H18&gt;0,[9]EvaluaciónRiesgoCorrup!$F$11&lt;51,D18=2,E18=20),G$26," ")))</f>
        <v xml:space="preserve"> </v>
      </c>
      <c r="AO18" s="29" t="str">
        <f>IF(AND(H18&gt;0,[9]EvaluaciónRiesgoCorrup!$F$11&lt;51,D18=3,E18=5),$E$27,IF(AND(H18&gt;0,[9]EvaluaciónRiesgoCorrup!$F$11&lt;51,D18=3,E18=10),$F$27,IF(AND(H18&gt;0,[9]EvaluaciónRiesgoCorrup!$F$11&lt;51,D18=3,E18=20),G$27," ")))</f>
        <v xml:space="preserve"> </v>
      </c>
      <c r="AP18" s="29" t="str">
        <f>IF(AND(H18&gt;0,[9]EvaluaciónRiesgoCorrup!$F$11&lt;51,D18=4,E18=5),$E$28,IF(AND(H18&gt;0,[9]EvaluaciónRiesgoCorrup!$F$11&lt;51,D18=4,E18=10),$F$28,IF(AND(H18&gt;0,[9]EvaluaciónRiesgoCorrup!$F$11&lt;51,D18=4,E18=20),G$28," ")))</f>
        <v xml:space="preserve"> </v>
      </c>
      <c r="AQ18" s="29" t="str">
        <f>IF(AND(H18&gt;0,[9]EvaluaciónRiesgoCorrup!$F$11&lt;51,D18=5,E18=5),$E$29,IF(AND(H18&gt;0,[9]EvaluaciónRiesgoCorrup!$F$11&lt;51,D18=5,E18=10),$F$29,IF(AND(H18&gt;0,[9]EvaluaciónRiesgoCorrup!$F$11&lt;51,D18=5,E18=20),G$29," ")))</f>
        <v xml:space="preserve"> </v>
      </c>
      <c r="AU18" s="29" t="str">
        <f>IF(AND(I18&gt;0,[9]EvaluaciónRiesgoCorrup!$F$11&gt;75,D18=1,E18=5),$E$25,IF(AND(I18&gt;0,[9]EvaluaciónRiesgoCorrup!$F$11&gt;75,D18=1,E18=10),$E$25,IF(AND(I18&gt;0,[9]EvaluaciónRiesgoCorrup!$F$11&gt;75,D18=1,E18=20),$E$25," ")))</f>
        <v xml:space="preserve"> </v>
      </c>
      <c r="AV18" s="29" t="str">
        <f>IF(AND(I18&gt;0,[9]EvaluaciónRiesgoCorrup!$F$11&gt;75,D18=2,E18=5),$E$26,IF(AND(I18&gt;0,[9]EvaluaciónRiesgoCorrup!$F$11&gt;75,D18=2,E18=10),$E$26,IF(AND(I18&gt;0,[9]EvaluaciónRiesgoCorrup!$F$11&gt;75,D18=2,E18=20),$E$26," ")))</f>
        <v xml:space="preserve"> </v>
      </c>
      <c r="AW18" s="29" t="str">
        <f>IF(AND(I18&gt;0,[9]EvaluaciónRiesgoCorrup!$F$11&gt;75,D18=3,E18=5),$E$27,IF(AND(I18&gt;0,[9]EvaluaciónRiesgoCorrup!$F$11&gt;75,D18=3,E18=10),$E$27,IF(AND(I18&gt;0,[9]EvaluaciónRiesgoCorrup!$F$11&gt;75,D18=3,E18=20),$E$27," ")))</f>
        <v xml:space="preserve"> </v>
      </c>
      <c r="AX18" s="29" t="str">
        <f>IF(AND(I18&gt;0,[9]EvaluaciónRiesgoCorrup!$F$11&gt;75,D18=4,E18=5),$E$28,IF(AND(I18&gt;0,[9]EvaluaciónRiesgoCorrup!$F$11&gt;75,D18=4,E18=10),$E$28,IF(AND(I18&gt;0,[9]EvaluaciónRiesgoCorrup!$F$11&gt;75,D18=4,E18=20),$E$28," ")))</f>
        <v xml:space="preserve"> </v>
      </c>
      <c r="AY18" s="29" t="str">
        <f>IF(AND(I18&gt;0,[9]EvaluaciónRiesgoCorrup!$F$11&gt;75,D18=5,E18=5),$E$29,IF(AND(I18&gt;0,[9]EvaluaciónRiesgoCorrup!$F$11&gt;75,D18=5,E18=10),$E$29,IF(AND(I18&gt;0,[9]EvaluaciónRiesgoCorrup!$F$11&gt;75,D18=5,E18=20),$E$29," ")))</f>
        <v xml:space="preserve"> </v>
      </c>
      <c r="BB18" s="29" t="str">
        <f>IF(AND(I18&gt;0,[9]EvaluaciónRiesgoCorrup!$F$11&gt;50,[9]EvaluaciónRiesgoCorrup!$F$11&lt;76,D18=1,E18=5),$E$25,IF(AND(I18&gt;0,[9]EvaluaciónRiesgoCorrup!$F$11&gt;50,[9]EvaluaciónRiesgoCorrup!$F$11&lt;76,D18=1,E18=10),$E$25,IF(AND(I18&gt;0,[9]EvaluaciónRiesgoCorrup!$F$11&gt;50,[9]EvaluaciónRiesgoCorrup!$F$11&lt;76,D18=1,E18=20),$F$25," ")))</f>
        <v xml:space="preserve"> </v>
      </c>
      <c r="BC18" s="29" t="str">
        <f>IF(AND(I18&gt;0,[9]EvaluaciónRiesgoCorrup!$F$11&gt;50,[9]EvaluaciónRiesgoCorrup!$F$11&lt;76,D18=2,E18=5),$E$26,IF(AND(I18&gt;0,[9]EvaluaciónRiesgoCorrup!$F$11&gt;50,[9]EvaluaciónRiesgoCorrup!$F$11&lt;76,D18=2,E18=10),$E$26,IF(AND(I18&gt;0,[9]EvaluaciónRiesgoCorrup!$F$11&gt;50,[9]EvaluaciónRiesgoCorrup!$F$11&lt;76,D18=2,E18=20),$F$26," ")))</f>
        <v xml:space="preserve"> </v>
      </c>
      <c r="BD18" s="29" t="str">
        <f>IF(AND(I18&gt;0,[9]EvaluaciónRiesgoCorrup!$F$11&gt;50,[9]EvaluaciónRiesgoCorrup!$F$11&lt;76,D18=3,E18=5),$E$27,IF(AND(I18&gt;0,[9]EvaluaciónRiesgoCorrup!$F$11&gt;50,[9]EvaluaciónRiesgoCorrup!$F$11&lt;76,D18=3,E18=10),$E$27,IF(AND(I18&gt;0,[9]EvaluaciónRiesgoCorrup!$F$11&gt;50,[9]EvaluaciónRiesgoCorrup!$F$11&lt;76,D18=3,E18=20),$F$27," ")))</f>
        <v xml:space="preserve"> </v>
      </c>
      <c r="BE18" s="29" t="str">
        <f>IF(AND(I18&gt;0,[9]EvaluaciónRiesgoCorrup!$F$11&gt;50,[9]EvaluaciónRiesgoCorrup!$F$11&lt;76,D18=4,E18=5),$E$28,IF(AND(I18&gt;0,[9]EvaluaciónRiesgoCorrup!$F$11&gt;50,[9]EvaluaciónRiesgoCorrup!$F$11&lt;76,D18=4,E18=10),$E$28,IF(AND(I18&gt;0,[9]EvaluaciónRiesgoCorrup!$F$11&gt;50,[9]EvaluaciónRiesgoCorrup!$F$11&lt;76,D18=4,E18=20),$F$28," ")))</f>
        <v xml:space="preserve"> </v>
      </c>
      <c r="BF18" s="29" t="str">
        <f>IF(AND(I18&gt;0,[9]EvaluaciónRiesgoCorrup!$F$11&gt;50,[9]EvaluaciónRiesgoCorrup!$F$11&lt;76,D18=5,E18=5),$E$29,IF(AND(I18&gt;0,[9]EvaluaciónRiesgoCorrup!$F$11&gt;50,[9]EvaluaciónRiesgoCorrup!$F$11&lt;76,D18=5,E18=10),$E$29,IF(AND(I18&gt;0,[9]EvaluaciónRiesgoCorrup!$F$11&gt;50,[9]EvaluaciónRiesgoCorrup!$F$11&lt;76,D18=5,E18=20),$F$29," ")))</f>
        <v xml:space="preserve"> </v>
      </c>
      <c r="BI18" s="29" t="str">
        <f>IF(AND(I18&gt;0,[9]EvaluaciónRiesgoCorrup!$F$11&lt;51,D18=1,E18=5),$E$25,IF(AND(I18&gt;0,[9]EvaluaciónRiesgoCorrup!$F$11&lt;51,D18=1,E18=10),$F$25,IF(AND(I18&gt;0,[9]EvaluaciónRiesgoCorrup!$F$11&lt;51,D18=1,E18=20),$G$25," ")))</f>
        <v xml:space="preserve"> </v>
      </c>
      <c r="BJ18" s="29" t="str">
        <f>IF(AND(I18&gt;0,[9]EvaluaciónRiesgoCorrup!$F$11&lt;51,D18=2,E18=5),$E$26,IF(AND(I18&gt;0,[9]EvaluaciónRiesgoCorrup!$F$11&lt;51,D18=2,E18=10),$F$26,IF(AND(I18&gt;0,[9]EvaluaciónRiesgoCorrup!$F$11&lt;51,D18=2,E18=20),$G$26," ")))</f>
        <v xml:space="preserve"> </v>
      </c>
      <c r="BK18" s="29" t="str">
        <f>IF(AND(I18&gt;0,[9]EvaluaciónRiesgoCorrup!$F$11&lt;51,D18=3,E18=5),$E$27,IF(AND(I18&gt;0,[9]EvaluaciónRiesgoCorrup!$F$11&lt;51,D18=3,E18=10),$F$27,IF(AND(I18&gt;0,[9]EvaluaciónRiesgoCorrup!$F$11&lt;51,D18=3,E18=20),$G$27," ")))</f>
        <v xml:space="preserve"> </v>
      </c>
      <c r="BL18" s="29" t="str">
        <f>IF(AND(I18&gt;0,[9]EvaluaciónRiesgoCorrup!$F$11&lt;51,D18=4,E18=5),$E$28,IF(AND(I18&gt;0,[9]EvaluaciónRiesgoCorrup!$F$11&lt;51,D18=4,E18=10),$F$28,IF(AND(I18&gt;0,[9]EvaluaciónRiesgoCorrup!$F$11&lt;51,D18=4,E18=20),$G$28," ")))</f>
        <v xml:space="preserve"> </v>
      </c>
      <c r="BM18" s="29" t="str">
        <f>IF(AND(I18&gt;0,[9]EvaluaciónRiesgoCorrup!$F$11&lt;51,D18=5,E18=5),$E$29,IF(AND(I18&gt;0,[9]EvaluaciónRiesgoCorrup!$F$11&lt;51,D18=5,E18=10),$F$29,IF(AND(I18&gt;0,[9]EvaluaciónRiesgoCorrup!$F$11&lt;51,D18=5,E18=20),$G$29," ")))</f>
        <v xml:space="preserve"> </v>
      </c>
    </row>
    <row r="19" spans="1:65" ht="153.75" customHeight="1" x14ac:dyDescent="0.3">
      <c r="A19" s="32"/>
      <c r="B19" s="22"/>
      <c r="C19" s="22"/>
      <c r="D19" s="23"/>
      <c r="E19" s="23"/>
      <c r="F19" s="23"/>
      <c r="G19" s="24"/>
      <c r="H19" s="25"/>
      <c r="I19" s="26"/>
      <c r="J19" s="23"/>
      <c r="K19" s="23"/>
      <c r="L19" s="23"/>
      <c r="M19" s="23"/>
      <c r="N19" s="27"/>
      <c r="O19" s="27"/>
      <c r="P19" s="27"/>
      <c r="Q19" s="29"/>
      <c r="S19" s="29" t="str">
        <f>IF(AND(D19=1,E19=5),$E$25,IF(AND(D19=1,E19=10),$F$25,IF(AND(D19=1,E19=20),$G$25," ")))</f>
        <v xml:space="preserve"> </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IF(AND(H19&gt;0,[9]EvaluaciónRiesgoCorrup!$F$11&gt;75,D19=1,E19=5),$E$25,IF(AND(H19&gt;0,[9]EvaluaciónRiesgoCorrup!$F$11&gt;75,D19=1,E19=10),$F$25,IF(AND(H19&gt;0,[9]EvaluaciónRiesgoCorrup!$F$11&gt;75,D19=1,E19=20),$G$25," ")))</f>
        <v xml:space="preserve"> </v>
      </c>
      <c r="AA19" s="29" t="str">
        <f>IF(AND(H19&gt;0,[9]EvaluaciónRiesgoCorrup!$F$11&gt;75,D19=2,E19=5),$E$25,IF(AND(H19&gt;0,[9]EvaluaciónRiesgoCorrup!$F$11&gt;75,D19=2,E19=10),$F$25,IF(AND(H19&gt;0,[9]EvaluaciónRiesgoCorrup!$F$11&gt;75,D19=2,E19=20),$G$25," ")))</f>
        <v xml:space="preserve"> </v>
      </c>
      <c r="AB19" s="29" t="str">
        <f>IF(AND(H19&gt;0,[9]EvaluaciónRiesgoCorrup!$F$11&gt;75,D19=3,E19=5),$E$25,IF(AND(H19&gt;0,[9]EvaluaciónRiesgoCorrup!$F$11&gt;75,D19=3,E19=10),$F$25,IF(AND(H19&gt;0,[9]EvaluaciónRiesgoCorrup!$F$11&gt;75,D19=3,E19=20),$G$25," ")))</f>
        <v xml:space="preserve"> </v>
      </c>
      <c r="AC19" s="29" t="str">
        <f>IF(AND(H19&gt;0,[9]EvaluaciónRiesgoCorrup!$F$11&gt;75,D19=4,E19=5),$E$26,IF(AND(H19&gt;0,[9]EvaluaciónRiesgoCorrup!$F$11&gt;75,D19=4,E19=10),$F$26,IF(AND(H19&gt;0,[9]EvaluaciónRiesgoCorrup!$F$11&gt;75,D19=4,E19=20),$G$26," ")))</f>
        <v xml:space="preserve"> </v>
      </c>
      <c r="AD19" s="29" t="str">
        <f>IF(AND(H19&gt;0,[9]EvaluaciónRiesgoCorrup!$F$11&gt;75,D19=5,E19=5),$E$27,IF(AND(H19&gt;0,[9]EvaluaciónRiesgoCorrup!$F$11&gt;75,D19=5,E19=10),$F$27,IF(AND(H19&gt;0,[9]EvaluaciónRiesgoCorrup!$F$11&gt;75,D19=5,E19=20),$G$27," ")))</f>
        <v xml:space="preserve"> </v>
      </c>
      <c r="AF19" s="29" t="str">
        <f>IF(AND(H19&gt;0,[9]EvaluaciónRiesgoCorrup!$F$11&gt;50,[9]EvaluaciónRiesgoCorrup!$F$11&lt;76,D19=1,E19=5),$E$25,IF(AND(H19&gt;0,[9]EvaluaciónRiesgoCorrup!$F$11&gt;50,[9]EvaluaciónRiesgoCorrup!$F$11&lt;76,D19=1,E19=10),$F$25,IF(AND(H19&gt;0,[9]EvaluaciónRiesgoCorrup!$F$11&gt;50,[9]EvaluaciónRiesgoCorrup!$F$11&lt;76,D19=1,E19=20),$G$25," ")))</f>
        <v xml:space="preserve"> </v>
      </c>
      <c r="AG19" s="29" t="str">
        <f>IF(AND(H19&gt;0,[9]EvaluaciónRiesgoCorrup!$F$11&gt;50,[9]EvaluaciónRiesgoCorrup!$F$11&lt;76,D19=2,E19=5),$E$25,IF(AND(H19&gt;0,[9]EvaluaciónRiesgoCorrup!$F$11&gt;50,[9]EvaluaciónRiesgoCorrup!$F$11&lt;76,D19=2,E19=10),$F$25,IF(AND(H19&gt;0,[9]EvaluaciónRiesgoCorrup!$F$11&gt;50,[9]EvaluaciónRiesgoCorrup!$F$11&lt;76,D19=2,E19=20),$G$25," ")))</f>
        <v xml:space="preserve"> </v>
      </c>
      <c r="AH19" s="29" t="str">
        <f>IF(AND(H19&gt;0,[9]EvaluaciónRiesgoCorrup!$F$11&gt;50,[9]EvaluaciónRiesgoCorrup!$F$11&lt;76,D19=3,E19=5),$E$26,IF(AND(H19&gt;0,[9]EvaluaciónRiesgoCorrup!$F$11&gt;50,[9]EvaluaciónRiesgoCorrup!$F$11&lt;76,D19=3,E19=10),$F$26,IF(AND(H19&gt;0,[9]EvaluaciónRiesgoCorrup!$F$11&gt;50,[9]EvaluaciónRiesgoCorrup!$F$11&lt;76,D19=3,E19=20),$G$26," ")))</f>
        <v xml:space="preserve"> </v>
      </c>
      <c r="AI19" s="29" t="str">
        <f>IF(AND(H19&gt;0,[9]EvaluaciónRiesgoCorrup!$F$11&gt;50,[9]EvaluaciónRiesgoCorrup!$F$11&lt;76,D19=4,E19=5),$E$27,IF(AND(H19&gt;0,[9]EvaluaciónRiesgoCorrup!$F$11&gt;50,[9]EvaluaciónRiesgoCorrup!$F$11&lt;76,D19=4,E19=10),$F$27,IF(AND(H19&gt;0,[9]EvaluaciónRiesgoCorrup!$F$11&gt;50,[9]EvaluaciónRiesgoCorrup!$F$11&lt;76,D19=4,E19=20),$G$27," ")))</f>
        <v xml:space="preserve"> </v>
      </c>
      <c r="AJ19" s="29" t="str">
        <f>IF(AND(H19&gt;0,[9]EvaluaciónRiesgoCorrup!$F$11&gt;50,[9]EvaluaciónRiesgoCorrup!$F$11&lt;76,D19=5,E19=5),$E$28,IF(AND(H19&gt;0,[9]EvaluaciónRiesgoCorrup!$F$11&gt;50,[9]EvaluaciónRiesgoCorrup!$F$11&lt;76,D19=5,E19=10),$F$28,IF(AND(H19&gt;0,[9]EvaluaciónRiesgoCorrup!$F$11&gt;50,[9]EvaluaciónRiesgoCorrup!$F$11&lt;76,D19=5,E19=20),$G$28," ")))</f>
        <v xml:space="preserve"> </v>
      </c>
      <c r="AM19" s="29" t="str">
        <f>IF(AND(H19&gt;0,[9]EvaluaciónRiesgoCorrup!$F$11&lt;51,D19=1,E19=5),$E$25,IF(AND(H19&gt;0,[9]EvaluaciónRiesgoCorrup!$F$11&lt;51,D19=1,E19=10),$F$25,IF(AND(H19&gt;0,[9]EvaluaciónRiesgoCorrup!$F$11&lt;51,D19=1,E19=20),G$25," ")))</f>
        <v xml:space="preserve"> </v>
      </c>
      <c r="AN19" s="29" t="str">
        <f>IF(AND(H19&gt;0,[9]EvaluaciónRiesgoCorrup!$F$11&lt;51,D19=2,E19=5),$E$26,IF(AND(H19&gt;0,[9]EvaluaciónRiesgoCorrup!$F$11&lt;51,D19=2,E19=10),$F$26,IF(AND(H19&gt;0,[9]EvaluaciónRiesgoCorrup!$F$11&lt;51,D19=2,E19=20),G$26," ")))</f>
        <v xml:space="preserve"> </v>
      </c>
      <c r="AO19" s="29" t="str">
        <f>IF(AND(H19&gt;0,[9]EvaluaciónRiesgoCorrup!$F$11&lt;51,D19=3,E19=5),$E$27,IF(AND(H19&gt;0,[9]EvaluaciónRiesgoCorrup!$F$11&lt;51,D19=3,E19=10),$F$27,IF(AND(H19&gt;0,[9]EvaluaciónRiesgoCorrup!$F$11&lt;51,D19=3,E19=20),G$27," ")))</f>
        <v xml:space="preserve"> </v>
      </c>
      <c r="AP19" s="29" t="str">
        <f>IF(AND(H19&gt;0,[9]EvaluaciónRiesgoCorrup!$F$11&lt;51,D19=4,E19=5),$E$28,IF(AND(H19&gt;0,[9]EvaluaciónRiesgoCorrup!$F$11&lt;51,D19=4,E19=10),$F$28,IF(AND(H19&gt;0,[9]EvaluaciónRiesgoCorrup!$F$11&lt;51,D19=4,E19=20),G$28," ")))</f>
        <v xml:space="preserve"> </v>
      </c>
      <c r="AQ19" s="29" t="str">
        <f>IF(AND(H19&gt;0,[9]EvaluaciónRiesgoCorrup!$F$11&lt;51,D19=5,E19=5),$E$29,IF(AND(H19&gt;0,[9]EvaluaciónRiesgoCorrup!$F$11&lt;51,D19=5,E19=10),$F$29,IF(AND(H19&gt;0,[9]EvaluaciónRiesgoCorrup!$F$11&lt;51,D19=5,E19=20),G$29," ")))</f>
        <v xml:space="preserve"> </v>
      </c>
      <c r="AU19" s="29" t="str">
        <f>IF(AND(I19&gt;0,[9]EvaluaciónRiesgoCorrup!$F$11&gt;75,D19=1,E19=5),$E$25,IF(AND(I19&gt;0,[9]EvaluaciónRiesgoCorrup!$F$11&gt;75,D19=1,E19=10),$E$25,IF(AND(I19&gt;0,[9]EvaluaciónRiesgoCorrup!$F$11&gt;75,D19=1,E19=20),$E$25," ")))</f>
        <v xml:space="preserve"> </v>
      </c>
      <c r="AV19" s="29" t="str">
        <f>IF(AND(I19&gt;0,[9]EvaluaciónRiesgoCorrup!$F$11&gt;75,D19=2,E19=5),$E$26,IF(AND(I19&gt;0,[9]EvaluaciónRiesgoCorrup!$F$11&gt;75,D19=2,E19=10),$E$26,IF(AND(I19&gt;0,[9]EvaluaciónRiesgoCorrup!$F$11&gt;75,D19=2,E19=20),$E$26," ")))</f>
        <v xml:space="preserve"> </v>
      </c>
      <c r="AW19" s="29" t="str">
        <f>IF(AND(I19&gt;0,[9]EvaluaciónRiesgoCorrup!$F$11&gt;75,D19=3,E19=5),$E$27,IF(AND(I19&gt;0,[9]EvaluaciónRiesgoCorrup!$F$11&gt;75,D19=3,E19=10),$E$27,IF(AND(I19&gt;0,[9]EvaluaciónRiesgoCorrup!$F$11&gt;75,D19=3,E19=20),$E$27," ")))</f>
        <v xml:space="preserve"> </v>
      </c>
      <c r="AX19" s="29" t="str">
        <f>IF(AND(I19&gt;0,[9]EvaluaciónRiesgoCorrup!$F$11&gt;75,D19=4,E19=5),$E$28,IF(AND(I19&gt;0,[9]EvaluaciónRiesgoCorrup!$F$11&gt;75,D19=4,E19=10),$E$28,IF(AND(I19&gt;0,[9]EvaluaciónRiesgoCorrup!$F$11&gt;75,D19=4,E19=20),$E$28," ")))</f>
        <v xml:space="preserve"> </v>
      </c>
      <c r="AY19" s="29" t="str">
        <f>IF(AND(I19&gt;0,[9]EvaluaciónRiesgoCorrup!$F$11&gt;75,D19=5,E19=5),$E$29,IF(AND(I19&gt;0,[9]EvaluaciónRiesgoCorrup!$F$11&gt;75,D19=5,E19=10),$E$29,IF(AND(I19&gt;0,[9]EvaluaciónRiesgoCorrup!$F$11&gt;75,D19=5,E19=20),$E$29," ")))</f>
        <v xml:space="preserve"> </v>
      </c>
      <c r="BB19" s="29" t="str">
        <f>IF(AND(I19&gt;0,[9]EvaluaciónRiesgoCorrup!$F$11&gt;50,[9]EvaluaciónRiesgoCorrup!$F$11&lt;76,D19=1,E19=5),$E$25,IF(AND(I19&gt;0,[9]EvaluaciónRiesgoCorrup!$F$11&gt;50,[9]EvaluaciónRiesgoCorrup!$F$11&lt;76,D19=1,E19=10),$E$25,IF(AND(I19&gt;0,[9]EvaluaciónRiesgoCorrup!$F$11&gt;50,[9]EvaluaciónRiesgoCorrup!$F$11&lt;76,D19=1,E19=20),$F$25," ")))</f>
        <v xml:space="preserve"> </v>
      </c>
      <c r="BC19" s="29" t="str">
        <f>IF(AND(I19&gt;0,[9]EvaluaciónRiesgoCorrup!$F$11&gt;50,[9]EvaluaciónRiesgoCorrup!$F$11&lt;76,D19=2,E19=5),$E$26,IF(AND(I19&gt;0,[9]EvaluaciónRiesgoCorrup!$F$11&gt;50,[9]EvaluaciónRiesgoCorrup!$F$11&lt;76,D19=2,E19=10),$E$26,IF(AND(I19&gt;0,[9]EvaluaciónRiesgoCorrup!$F$11&gt;50,[9]EvaluaciónRiesgoCorrup!$F$11&lt;76,D19=2,E19=20),$F$26," ")))</f>
        <v xml:space="preserve"> </v>
      </c>
      <c r="BD19" s="29" t="str">
        <f>IF(AND(I19&gt;0,[9]EvaluaciónRiesgoCorrup!$F$11&gt;50,[9]EvaluaciónRiesgoCorrup!$F$11&lt;76,D19=3,E19=5),$E$27,IF(AND(I19&gt;0,[9]EvaluaciónRiesgoCorrup!$F$11&gt;50,[9]EvaluaciónRiesgoCorrup!$F$11&lt;76,D19=3,E19=10),$E$27,IF(AND(I19&gt;0,[9]EvaluaciónRiesgoCorrup!$F$11&gt;50,[9]EvaluaciónRiesgoCorrup!$F$11&lt;76,D19=3,E19=20),$F$27," ")))</f>
        <v xml:space="preserve"> </v>
      </c>
      <c r="BE19" s="29" t="str">
        <f>IF(AND(I19&gt;0,[9]EvaluaciónRiesgoCorrup!$F$11&gt;50,[9]EvaluaciónRiesgoCorrup!$F$11&lt;76,D19=4,E19=5),$E$28,IF(AND(I19&gt;0,[9]EvaluaciónRiesgoCorrup!$F$11&gt;50,[9]EvaluaciónRiesgoCorrup!$F$11&lt;76,D19=4,E19=10),$E$28,IF(AND(I19&gt;0,[9]EvaluaciónRiesgoCorrup!$F$11&gt;50,[9]EvaluaciónRiesgoCorrup!$F$11&lt;76,D19=4,E19=20),$F$28," ")))</f>
        <v xml:space="preserve"> </v>
      </c>
      <c r="BF19" s="29" t="str">
        <f>IF(AND(I19&gt;0,[9]EvaluaciónRiesgoCorrup!$F$11&gt;50,[9]EvaluaciónRiesgoCorrup!$F$11&lt;76,D19=5,E19=5),$E$29,IF(AND(I19&gt;0,[9]EvaluaciónRiesgoCorrup!$F$11&gt;50,[9]EvaluaciónRiesgoCorrup!$F$11&lt;76,D19=5,E19=10),$E$29,IF(AND(I19&gt;0,[9]EvaluaciónRiesgoCorrup!$F$11&gt;50,[9]EvaluaciónRiesgoCorrup!$F$11&lt;76,D19=5,E19=20),$F$29," ")))</f>
        <v xml:space="preserve"> </v>
      </c>
      <c r="BI19" s="29" t="str">
        <f>IF(AND(I19&gt;0,[9]EvaluaciónRiesgoCorrup!$F$11&lt;51,D19=1,E19=5),$E$25,IF(AND(I19&gt;0,[9]EvaluaciónRiesgoCorrup!$F$11&lt;51,D19=1,E19=10),$F$25,IF(AND(I19&gt;0,[9]EvaluaciónRiesgoCorrup!$F$11&lt;51,D19=1,E19=20),$G$25," ")))</f>
        <v xml:space="preserve"> </v>
      </c>
      <c r="BJ19" s="29" t="str">
        <f>IF(AND(I19&gt;0,[9]EvaluaciónRiesgoCorrup!$F$11&lt;51,D19=2,E19=5),$E$26,IF(AND(I19&gt;0,[9]EvaluaciónRiesgoCorrup!$F$11&lt;51,D19=2,E19=10),$F$26,IF(AND(I19&gt;0,[9]EvaluaciónRiesgoCorrup!$F$11&lt;51,D19=2,E19=20),$G$26," ")))</f>
        <v xml:space="preserve"> </v>
      </c>
      <c r="BK19" s="29" t="str">
        <f>IF(AND(I19&gt;0,[9]EvaluaciónRiesgoCorrup!$F$11&lt;51,D19=3,E19=5),$E$27,IF(AND(I19&gt;0,[9]EvaluaciónRiesgoCorrup!$F$11&lt;51,D19=3,E19=10),$F$27,IF(AND(I19&gt;0,[9]EvaluaciónRiesgoCorrup!$F$11&lt;51,D19=3,E19=20),$G$27," ")))</f>
        <v xml:space="preserve"> </v>
      </c>
      <c r="BL19" s="29" t="str">
        <f>IF(AND(I19&gt;0,[9]EvaluaciónRiesgoCorrup!$F$11&lt;51,D19=4,E19=5),$E$28,IF(AND(I19&gt;0,[9]EvaluaciónRiesgoCorrup!$F$11&lt;51,D19=4,E19=10),$F$28,IF(AND(I19&gt;0,[9]EvaluaciónRiesgoCorrup!$F$11&lt;51,D19=4,E19=20),$G$28," ")))</f>
        <v xml:space="preserve"> </v>
      </c>
      <c r="BM19" s="29" t="str">
        <f>IF(AND(I19&gt;0,[9]EvaluaciónRiesgoCorrup!$F$11&lt;51,D19=5,E19=5),$E$29,IF(AND(I19&gt;0,[9]EvaluaciónRiesgoCorrup!$F$11&lt;51,D19=5,E19=10),$F$29,IF(AND(I19&gt;0,[9]EvaluaciónRiesgoCorrup!$F$11&lt;51,D19=5,E19=20),$G$29," ")))</f>
        <v xml:space="preserve"> </v>
      </c>
    </row>
    <row r="20" spans="1:65" ht="13.9" x14ac:dyDescent="0.3">
      <c r="A20" s="32"/>
      <c r="B20" s="22"/>
      <c r="C20" s="22"/>
    </row>
    <row r="21" spans="1:65" ht="13.9" x14ac:dyDescent="0.3">
      <c r="A21" s="29"/>
      <c r="B21" s="31"/>
      <c r="C21" s="31"/>
    </row>
    <row r="22" spans="1:65" ht="14.45" thickBot="1" x14ac:dyDescent="0.35">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4.45" thickBot="1" x14ac:dyDescent="0.35">
      <c r="D26" s="38" t="s">
        <v>54</v>
      </c>
      <c r="E26" s="39" t="s">
        <v>52</v>
      </c>
      <c r="F26" s="40" t="s">
        <v>53</v>
      </c>
      <c r="G26" s="41" t="s">
        <v>55</v>
      </c>
      <c r="H26" s="2"/>
      <c r="L26" s="5"/>
      <c r="N26" s="2"/>
    </row>
    <row r="27" spans="1:65" ht="14.45" thickBot="1" x14ac:dyDescent="0.35">
      <c r="D27" s="38" t="s">
        <v>56</v>
      </c>
      <c r="E27" s="40" t="s">
        <v>53</v>
      </c>
      <c r="F27" s="41" t="s">
        <v>55</v>
      </c>
      <c r="G27" s="42" t="s">
        <v>57</v>
      </c>
      <c r="H27" s="2"/>
      <c r="L27" s="5"/>
      <c r="N27" s="2"/>
    </row>
    <row r="28" spans="1:65" ht="14.45" thickBot="1" x14ac:dyDescent="0.35">
      <c r="D28" s="38" t="s">
        <v>58</v>
      </c>
      <c r="E28" s="40" t="s">
        <v>53</v>
      </c>
      <c r="F28" s="41" t="s">
        <v>55</v>
      </c>
      <c r="G28" s="42" t="s">
        <v>57</v>
      </c>
      <c r="H28" s="2"/>
      <c r="L28" s="5"/>
      <c r="N28" s="2"/>
    </row>
    <row r="29" spans="1:65" ht="14.45" thickBot="1" x14ac:dyDescent="0.35">
      <c r="D29" s="38" t="s">
        <v>59</v>
      </c>
      <c r="E29" s="40" t="s">
        <v>53</v>
      </c>
      <c r="F29" s="41" t="s">
        <v>55</v>
      </c>
      <c r="G29" s="42" t="s">
        <v>57</v>
      </c>
      <c r="H29" s="2"/>
      <c r="L29" s="5"/>
      <c r="N29" s="2"/>
    </row>
    <row r="30" spans="1:65" ht="13.9" x14ac:dyDescent="0.3">
      <c r="D30" s="2"/>
      <c r="E30" s="2"/>
      <c r="F30" s="2"/>
      <c r="G30" s="5"/>
      <c r="I30" s="5"/>
    </row>
    <row r="31" spans="1:65" ht="13.9" x14ac:dyDescent="0.3">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3:D24"/>
    <mergeCell ref="E23:G23"/>
    <mergeCell ref="K15:M15"/>
  </mergeCells>
  <conditionalFormatting sqref="F17:F19 J17:J19">
    <cfRule type="containsText" dxfId="35" priority="1" operator="containsText" text="E">
      <formula>NOT(ISERROR(SEARCH("E",F17)))</formula>
    </cfRule>
    <cfRule type="containsText" dxfId="34" priority="2" operator="containsText" text="M">
      <formula>NOT(ISERROR(SEARCH("M",F17)))</formula>
    </cfRule>
    <cfRule type="containsText" dxfId="33" priority="3" operator="containsText" text="A">
      <formula>NOT(ISERROR(SEARCH("A",F17)))</formula>
    </cfRule>
    <cfRule type="containsText" dxfId="32" priority="4" operator="containsText" text="B">
      <formula>NOT(ISERROR(SEARCH("B",F17)))</formula>
    </cfRule>
  </conditionalFormatting>
  <dataValidations count="2">
    <dataValidation type="list" allowBlank="1" showInputMessage="1" showErrorMessage="1" sqref="H20:J20">
      <formula1>#REF!</formula1>
    </dataValidation>
    <dataValidation type="list" allowBlank="1" showInputMessage="1" showErrorMessage="1" sqref="K20:L20">
      <formula1>$F$31:$F$34</formula1>
    </dataValidation>
  </dataValidations>
  <pageMargins left="0.7" right="0.7" top="0.75" bottom="0.75" header="0.3" footer="0.3"/>
  <pageSetup scale="2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4"/>
  <sheetViews>
    <sheetView showGridLines="0" view="pageBreakPreview" zoomScale="30" zoomScaleNormal="85" zoomScaleSheetLayoutView="30" workbookViewId="0">
      <selection activeCell="D12" sqref="D12:Q12"/>
    </sheetView>
  </sheetViews>
  <sheetFormatPr baseColWidth="10" defaultColWidth="11.42578125" defaultRowHeight="14.25" x14ac:dyDescent="0.25"/>
  <cols>
    <col min="1" max="1" width="41.28515625" style="2" customWidth="1"/>
    <col min="2" max="3" width="40.42578125" style="2" customWidth="1"/>
    <col min="4" max="4" width="27" style="5" customWidth="1"/>
    <col min="5" max="5" width="19" style="5" customWidth="1"/>
    <col min="6" max="6" width="26.7109375" style="5" customWidth="1"/>
    <col min="7" max="7" width="29.7109375" style="2" customWidth="1"/>
    <col min="8" max="8" width="17.7109375" style="5" customWidth="1"/>
    <col min="9" max="9" width="18.5703125" style="2" customWidth="1"/>
    <col min="10" max="10" width="21.7109375" style="2" customWidth="1"/>
    <col min="11" max="12" width="19.85546875" style="2" customWidth="1"/>
    <col min="13" max="13" width="17" style="2" customWidth="1"/>
    <col min="14" max="14" width="36.42578125" style="5" customWidth="1"/>
    <col min="15" max="15" width="26.5703125" style="2" customWidth="1"/>
    <col min="16" max="18" width="30.42578125" style="2" customWidth="1"/>
    <col min="19" max="19" width="36" style="2" hidden="1" customWidth="1"/>
    <col min="20" max="68" width="11.42578125" style="2" hidden="1" customWidth="1"/>
    <col min="69" max="16384" width="11.42578125" style="2"/>
  </cols>
  <sheetData>
    <row r="1" spans="1:67" ht="21" customHeight="1" x14ac:dyDescent="0.25">
      <c r="A1" s="78"/>
      <c r="B1" s="78"/>
      <c r="C1" s="78"/>
      <c r="D1" s="79" t="s">
        <v>0</v>
      </c>
      <c r="E1" s="80"/>
      <c r="F1" s="80"/>
      <c r="G1" s="80"/>
      <c r="H1" s="80"/>
      <c r="I1" s="80"/>
      <c r="J1" s="80"/>
      <c r="K1" s="80"/>
      <c r="L1" s="80"/>
      <c r="M1" s="80"/>
      <c r="N1" s="80"/>
      <c r="O1" s="81"/>
      <c r="P1" s="88" t="s">
        <v>1</v>
      </c>
      <c r="Q1" s="89"/>
      <c r="R1" s="1"/>
      <c r="S1" s="1"/>
    </row>
    <row r="2" spans="1:67" ht="22.5" customHeight="1" x14ac:dyDescent="0.25">
      <c r="A2" s="78"/>
      <c r="B2" s="78"/>
      <c r="C2" s="78"/>
      <c r="D2" s="82"/>
      <c r="E2" s="83"/>
      <c r="F2" s="83"/>
      <c r="G2" s="83"/>
      <c r="H2" s="83"/>
      <c r="I2" s="83"/>
      <c r="J2" s="83"/>
      <c r="K2" s="83"/>
      <c r="L2" s="83"/>
      <c r="M2" s="83"/>
      <c r="N2" s="83"/>
      <c r="O2" s="84"/>
      <c r="P2" s="88" t="s">
        <v>2</v>
      </c>
      <c r="Q2" s="89"/>
      <c r="R2" s="1"/>
      <c r="S2" s="1"/>
    </row>
    <row r="3" spans="1:67" ht="21" customHeight="1" x14ac:dyDescent="0.25">
      <c r="A3" s="78"/>
      <c r="B3" s="78"/>
      <c r="C3" s="78"/>
      <c r="D3" s="82"/>
      <c r="E3" s="83"/>
      <c r="F3" s="83"/>
      <c r="G3" s="83"/>
      <c r="H3" s="83"/>
      <c r="I3" s="83"/>
      <c r="J3" s="83"/>
      <c r="K3" s="83"/>
      <c r="L3" s="83"/>
      <c r="M3" s="83"/>
      <c r="N3" s="83"/>
      <c r="O3" s="84"/>
      <c r="P3" s="88" t="s">
        <v>3</v>
      </c>
      <c r="Q3" s="89"/>
      <c r="R3" s="1"/>
      <c r="S3" s="1"/>
    </row>
    <row r="4" spans="1:67" ht="20.25" customHeight="1" x14ac:dyDescent="0.25">
      <c r="A4" s="78"/>
      <c r="B4" s="78"/>
      <c r="C4" s="78"/>
      <c r="D4" s="85"/>
      <c r="E4" s="86"/>
      <c r="F4" s="86"/>
      <c r="G4" s="86"/>
      <c r="H4" s="86"/>
      <c r="I4" s="86"/>
      <c r="J4" s="86"/>
      <c r="K4" s="86"/>
      <c r="L4" s="86"/>
      <c r="M4" s="86"/>
      <c r="N4" s="86"/>
      <c r="O4" s="87"/>
      <c r="P4" s="88" t="s">
        <v>4</v>
      </c>
      <c r="Q4" s="89"/>
      <c r="R4" s="1"/>
      <c r="S4" s="1"/>
    </row>
    <row r="5" spans="1:67" ht="8.25" customHeight="1" x14ac:dyDescent="0.25">
      <c r="B5" s="3"/>
      <c r="C5" s="3"/>
      <c r="D5" s="4"/>
      <c r="E5" s="4"/>
      <c r="F5" s="4"/>
      <c r="G5" s="4"/>
      <c r="H5" s="4"/>
      <c r="I5" s="4"/>
      <c r="J5" s="4"/>
      <c r="K5" s="4"/>
      <c r="L5" s="4"/>
      <c r="R5" s="6"/>
      <c r="S5" s="6"/>
    </row>
    <row r="6" spans="1:67" ht="15" x14ac:dyDescent="0.25">
      <c r="A6" s="90" t="s">
        <v>5</v>
      </c>
      <c r="B6" s="90"/>
      <c r="C6" s="90"/>
      <c r="D6" s="91" t="str">
        <f>[10]IdentRiesgo!B2</f>
        <v>Gestión Financiera-Contabilidad</v>
      </c>
      <c r="E6" s="92"/>
      <c r="F6" s="92"/>
      <c r="G6" s="92"/>
      <c r="H6" s="92"/>
      <c r="I6" s="92"/>
      <c r="J6" s="92"/>
      <c r="K6" s="92"/>
      <c r="L6" s="92"/>
      <c r="M6" s="92"/>
      <c r="N6" s="92"/>
      <c r="O6" s="92"/>
      <c r="P6" s="92"/>
      <c r="Q6" s="93"/>
      <c r="R6" s="6"/>
      <c r="S6" s="6"/>
    </row>
    <row r="7" spans="1:67" ht="6.75" customHeight="1" x14ac:dyDescent="0.25">
      <c r="B7" s="3"/>
      <c r="C7" s="3"/>
      <c r="D7" s="7"/>
      <c r="E7" s="7"/>
      <c r="F7" s="7"/>
      <c r="G7" s="7"/>
      <c r="H7" s="7"/>
      <c r="I7" s="7"/>
      <c r="J7" s="7"/>
      <c r="K7" s="7"/>
      <c r="L7" s="7"/>
      <c r="M7" s="8"/>
      <c r="N7" s="8"/>
      <c r="O7" s="8"/>
      <c r="P7" s="8"/>
      <c r="Q7" s="8"/>
      <c r="R7" s="6"/>
      <c r="S7" s="6"/>
    </row>
    <row r="8" spans="1:67" ht="39.75" customHeight="1" x14ac:dyDescent="0.25">
      <c r="A8" s="90" t="s">
        <v>6</v>
      </c>
      <c r="B8" s="90"/>
      <c r="C8" s="90"/>
      <c r="D8" s="94" t="str">
        <f>[10]IdentRiesgo!B3</f>
        <v>Asegurar la oportuna provisión de recursos financieros necesarios para el autosostenimiento y desempeño eficaz y eficiente de la gestión financiera de la entidad mediante el registro de la ejecución presupuestal, la presentación de estados financieros y el recaudo de los ingresos y el pago de los compromisos.</v>
      </c>
      <c r="E8" s="95"/>
      <c r="F8" s="95"/>
      <c r="G8" s="95"/>
      <c r="H8" s="95"/>
      <c r="I8" s="95"/>
      <c r="J8" s="95"/>
      <c r="K8" s="95"/>
      <c r="L8" s="95"/>
      <c r="M8" s="95"/>
      <c r="N8" s="95"/>
      <c r="O8" s="95"/>
      <c r="P8" s="95"/>
      <c r="Q8" s="96"/>
      <c r="R8" s="9"/>
      <c r="S8" s="9"/>
    </row>
    <row r="9" spans="1:67" ht="6.75" customHeight="1" x14ac:dyDescent="0.25">
      <c r="B9" s="10"/>
      <c r="C9" s="10"/>
      <c r="D9" s="11"/>
      <c r="E9" s="11"/>
      <c r="F9" s="11"/>
      <c r="G9" s="11"/>
      <c r="H9" s="11"/>
      <c r="I9" s="11"/>
      <c r="J9" s="11"/>
      <c r="K9" s="11"/>
      <c r="L9" s="11"/>
      <c r="M9" s="8"/>
      <c r="N9" s="8"/>
      <c r="O9" s="8"/>
      <c r="P9" s="8"/>
      <c r="Q9" s="8"/>
      <c r="R9" s="6"/>
      <c r="S9" s="6"/>
    </row>
    <row r="10" spans="1:67" ht="15" x14ac:dyDescent="0.25">
      <c r="A10" s="90" t="s">
        <v>7</v>
      </c>
      <c r="B10" s="90"/>
      <c r="C10" s="90"/>
      <c r="D10" s="97" t="s">
        <v>64</v>
      </c>
      <c r="E10" s="98"/>
      <c r="F10" s="98"/>
      <c r="G10" s="98"/>
      <c r="H10" s="98"/>
      <c r="I10" s="98"/>
      <c r="J10" s="98"/>
      <c r="K10" s="98"/>
      <c r="L10" s="98"/>
      <c r="M10" s="98"/>
      <c r="N10" s="98"/>
      <c r="O10" s="98"/>
      <c r="P10" s="98"/>
      <c r="Q10" s="99"/>
      <c r="R10" s="12"/>
      <c r="S10" s="12"/>
    </row>
    <row r="11" spans="1:67" ht="5.25" customHeight="1" x14ac:dyDescent="0.25">
      <c r="B11" s="3"/>
      <c r="C11" s="3"/>
      <c r="D11" s="13"/>
      <c r="E11" s="13"/>
      <c r="F11" s="13"/>
      <c r="G11" s="13"/>
      <c r="H11" s="13"/>
      <c r="I11" s="13"/>
      <c r="J11" s="13"/>
      <c r="K11" s="13"/>
      <c r="L11" s="13"/>
      <c r="M11" s="8"/>
      <c r="N11" s="8"/>
      <c r="O11" s="8"/>
      <c r="P11" s="8"/>
      <c r="Q11" s="8"/>
      <c r="R11" s="6"/>
      <c r="S11" s="6"/>
    </row>
    <row r="12" spans="1:67" ht="15" x14ac:dyDescent="0.25">
      <c r="A12" s="90" t="s">
        <v>8</v>
      </c>
      <c r="B12" s="90"/>
      <c r="C12" s="90"/>
      <c r="D12" s="97" t="s">
        <v>155</v>
      </c>
      <c r="E12" s="98"/>
      <c r="F12" s="98"/>
      <c r="G12" s="98"/>
      <c r="H12" s="98"/>
      <c r="I12" s="98"/>
      <c r="J12" s="98"/>
      <c r="K12" s="98"/>
      <c r="L12" s="98"/>
      <c r="M12" s="98"/>
      <c r="N12" s="98"/>
      <c r="O12" s="98"/>
      <c r="P12" s="98"/>
      <c r="Q12" s="99"/>
      <c r="R12" s="12"/>
      <c r="S12" s="12"/>
      <c r="V12" s="2" t="s">
        <v>9</v>
      </c>
    </row>
    <row r="13" spans="1:67" ht="15.75" thickBot="1" x14ac:dyDescent="0.3">
      <c r="B13" s="3"/>
      <c r="C13" s="3"/>
      <c r="D13" s="14"/>
      <c r="E13" s="15"/>
      <c r="F13" s="15"/>
      <c r="G13" s="7"/>
      <c r="H13" s="15"/>
      <c r="I13" s="7"/>
      <c r="J13" s="7"/>
      <c r="K13" s="7"/>
      <c r="L13" s="7"/>
      <c r="M13" s="7"/>
      <c r="N13" s="15"/>
      <c r="O13" s="7"/>
      <c r="R13" s="6"/>
      <c r="S13" s="6"/>
      <c r="V13" s="2" t="s">
        <v>10</v>
      </c>
      <c r="AB13" s="100" t="s">
        <v>11</v>
      </c>
      <c r="AC13" s="100"/>
      <c r="AD13" s="100"/>
      <c r="AE13" s="100"/>
      <c r="AF13" s="100"/>
      <c r="AG13" s="100"/>
      <c r="AH13" s="100"/>
      <c r="AI13" s="100"/>
      <c r="AJ13" s="100"/>
      <c r="AK13" s="100"/>
      <c r="AL13" s="100"/>
      <c r="AM13" s="100"/>
      <c r="AN13" s="100"/>
      <c r="AO13" s="100"/>
      <c r="AP13" s="100"/>
      <c r="AQ13" s="100"/>
      <c r="AR13" s="100"/>
      <c r="AS13" s="100"/>
      <c r="AT13" s="100"/>
      <c r="AV13" s="100" t="s">
        <v>12</v>
      </c>
      <c r="AW13" s="100"/>
      <c r="AX13" s="100"/>
      <c r="AY13" s="100"/>
      <c r="AZ13" s="100"/>
      <c r="BA13" s="100"/>
      <c r="BB13" s="100"/>
      <c r="BC13" s="100"/>
      <c r="BD13" s="100"/>
      <c r="BE13" s="100"/>
      <c r="BF13" s="100"/>
      <c r="BG13" s="100"/>
      <c r="BH13" s="100"/>
      <c r="BI13" s="100"/>
      <c r="BJ13" s="100"/>
      <c r="BK13" s="100"/>
      <c r="BL13" s="100"/>
      <c r="BM13" s="100"/>
      <c r="BN13" s="100"/>
      <c r="BO13" s="100"/>
    </row>
    <row r="14" spans="1:67" s="17" customFormat="1" ht="15" customHeight="1" x14ac:dyDescent="0.25">
      <c r="A14" s="101" t="s">
        <v>13</v>
      </c>
      <c r="B14" s="102"/>
      <c r="C14" s="103"/>
      <c r="D14" s="104" t="s">
        <v>14</v>
      </c>
      <c r="E14" s="104"/>
      <c r="F14" s="16"/>
      <c r="G14" s="105" t="s">
        <v>15</v>
      </c>
      <c r="H14" s="101" t="s">
        <v>16</v>
      </c>
      <c r="I14" s="102"/>
      <c r="J14" s="103"/>
      <c r="K14" s="108" t="s">
        <v>17</v>
      </c>
      <c r="L14" s="108"/>
      <c r="M14" s="108"/>
      <c r="N14" s="108" t="s">
        <v>18</v>
      </c>
      <c r="O14" s="108"/>
      <c r="P14" s="108"/>
      <c r="Q14" s="108"/>
    </row>
    <row r="15" spans="1:67" s="17" customFormat="1" ht="14.25" customHeight="1" x14ac:dyDescent="0.25">
      <c r="A15" s="106" t="s">
        <v>19</v>
      </c>
      <c r="B15" s="106" t="s">
        <v>20</v>
      </c>
      <c r="C15" s="106" t="s">
        <v>21</v>
      </c>
      <c r="D15" s="110" t="s">
        <v>22</v>
      </c>
      <c r="E15" s="110"/>
      <c r="F15" s="18"/>
      <c r="G15" s="106"/>
      <c r="H15" s="111" t="s">
        <v>23</v>
      </c>
      <c r="I15" s="112"/>
      <c r="J15" s="113"/>
      <c r="K15" s="111" t="s">
        <v>24</v>
      </c>
      <c r="L15" s="112"/>
      <c r="M15" s="113"/>
      <c r="N15" s="110" t="s">
        <v>25</v>
      </c>
      <c r="O15" s="110" t="s">
        <v>26</v>
      </c>
      <c r="P15" s="110" t="s">
        <v>7</v>
      </c>
      <c r="Q15" s="110" t="s">
        <v>27</v>
      </c>
    </row>
    <row r="16" spans="1:67" s="17" customFormat="1" ht="63" customHeight="1" x14ac:dyDescent="0.25">
      <c r="A16" s="109"/>
      <c r="B16" s="109"/>
      <c r="C16" s="109"/>
      <c r="D16" s="18" t="s">
        <v>28</v>
      </c>
      <c r="E16" s="18" t="s">
        <v>12</v>
      </c>
      <c r="F16" s="18" t="s">
        <v>29</v>
      </c>
      <c r="G16" s="107"/>
      <c r="H16" s="19" t="s">
        <v>28</v>
      </c>
      <c r="I16" s="19" t="s">
        <v>12</v>
      </c>
      <c r="J16" s="20" t="s">
        <v>29</v>
      </c>
      <c r="K16" s="18" t="s">
        <v>30</v>
      </c>
      <c r="L16" s="18" t="s">
        <v>26</v>
      </c>
      <c r="M16" s="18" t="s">
        <v>31</v>
      </c>
      <c r="N16" s="110"/>
      <c r="O16" s="110"/>
      <c r="P16" s="110"/>
      <c r="Q16" s="110"/>
    </row>
    <row r="17" spans="1:65" ht="153.75" customHeight="1" x14ac:dyDescent="0.25">
      <c r="A17" s="22" t="str">
        <f>[10]IdentRiesgo!A6</f>
        <v>Inadecuada revisión de los soportes presentados para el trámite de cuentas.</v>
      </c>
      <c r="B17" s="22" t="str">
        <f>[10]IdentRiesgo!B6</f>
        <v>Beneficio a tercero al ordenar o efectuar pagos sin el lleno de los requisitos legales.</v>
      </c>
      <c r="C17" s="22" t="str">
        <f>[10]IdentRiesgo!D6</f>
        <v>Sanciones disciplinarias por parte de los entes de control</v>
      </c>
      <c r="D17" s="23">
        <f>IF([10]AnálisisRiesgo!B9&gt;0,5,IF([10]AnálisisRiesgo!C9&gt;0,4,IF([10]AnálisisRiesgo!D9&gt;0,3,IF([10]AnálisisRiesgo!E9&gt;0,2,IF([10]AnálisisRiesgo!F9&gt;0,1,"")))))</f>
        <v>1</v>
      </c>
      <c r="E17" s="23">
        <f>IF([10]AnálisisRiesgo!G9&gt;0,5,IF([10]AnálisisRiesgo!H9&gt;0,4,IF([10]AnálisisRiesgo!I9&gt;0,3,IF([10]AnálisisRiesgo!J9&gt;0,2,IF([10]AnálisisRiesgo!K9&gt;0,1,IF([10]AnálisisRiesgo!L9&gt;0,20,IF([10]AnálisisRiesgo!M9&gt;0,10,IF([10]AnálisisRiesgo!N9&gt;0,5,""))))))))</f>
        <v>10</v>
      </c>
      <c r="F17" s="23" t="str">
        <f>CONCATENATE(S17,T17,U17,V17,W17)</f>
        <v xml:space="preserve">B    </v>
      </c>
      <c r="G17" s="23" t="s">
        <v>65</v>
      </c>
      <c r="H17" s="25"/>
      <c r="I17" s="26" t="s">
        <v>32</v>
      </c>
      <c r="J17" s="23" t="str">
        <f>CONCATENATE(Z17,AA17,AB17,AC17,AD17,AF17,AG17,AH17,AI17,AJ17,AM17,AN17,AO17,AP17,AQ17,AU17,AV17,AW17,AX17,AY17,BB17,BC17,BD17,BE17,BF17,BI17,BJ17,BK17,BL17,BM17)</f>
        <v xml:space="preserve">               B              </v>
      </c>
      <c r="K17" s="23" t="s">
        <v>66</v>
      </c>
      <c r="L17" s="23" t="s">
        <v>67</v>
      </c>
      <c r="M17" s="23" t="s">
        <v>68</v>
      </c>
      <c r="N17" s="47"/>
      <c r="O17" s="27"/>
      <c r="P17" s="27"/>
      <c r="Q17" s="29"/>
      <c r="S17" s="29" t="str">
        <f>IF(AND(D17=1,E17=5),$E$25,IF(AND(D17=1,E17=10),$F$25,IF(AND(D17=1,E17=20),$G$25," ")))</f>
        <v>B</v>
      </c>
      <c r="T17" s="29" t="str">
        <f>IF(AND(D17=2,E17=5),$E$26,IF(AND(D17=2,E17=10),$F$26,IF(AND(D17=2,E17=20),$G$26," ")))</f>
        <v xml:space="preserve"> </v>
      </c>
      <c r="U17" s="29" t="str">
        <f>IF(AND(D17=3,E17=5),$E$27,IF(AND(D17=3,E17=10),$F$27,IF(AND(D17=3,E17=20),$G$27," ")))</f>
        <v xml:space="preserve"> </v>
      </c>
      <c r="V17" s="29" t="str">
        <f>IF(AND(D17=4,E17=5),$E$28,IF(AND(D17=4,E17=10),$F$28,IF(AND(D17=4,E17=20),$G$28," ")))</f>
        <v xml:space="preserve"> </v>
      </c>
      <c r="W17" s="29" t="str">
        <f>IF(AND(D17=5,E17=5),$E$29,IF(AND(D17=5,E17=10),$F$29,IF(AND(D17=5,E17=20),$G$29," ")))</f>
        <v xml:space="preserve"> </v>
      </c>
      <c r="Y17" s="30" t="s">
        <v>35</v>
      </c>
      <c r="Z17" s="29" t="str">
        <f>IF(AND(H17&gt;0,'[10]EvaluaciónRiesgoCorrup 1'!$F$11&gt;75,D17=1,E17=5),$E$25,IF(AND(H17&gt;0,'[10]EvaluaciónRiesgoCorrup 1'!$F$11&gt;75,D17=1,E17=10),$F$25,IF(AND(H17&gt;0,'[10]EvaluaciónRiesgoCorrup 1'!$F$11&gt;75,D17=1,E17=20),$G$25," ")))</f>
        <v xml:space="preserve"> </v>
      </c>
      <c r="AA17" s="29" t="str">
        <f>IF(AND(H17&gt;0,'[10]EvaluaciónRiesgoCorrup 1'!$F$11&gt;75,D17=2,E17=5),$E$25,IF(AND(H17&gt;0,'[10]EvaluaciónRiesgoCorrup 1'!$F$11&gt;75,D17=2,E17=10),$F$25,IF(AND(H17&gt;0,'[10]EvaluaciónRiesgoCorrup 1'!$F$11&gt;75,D17=2,E17=20),$G$25," ")))</f>
        <v xml:space="preserve"> </v>
      </c>
      <c r="AB17" s="29" t="str">
        <f>IF(AND(H17&gt;0,'[10]EvaluaciónRiesgoCorrup 1'!$F$11&gt;75,D17=3,E17=5),$E$25,IF(AND(H17&gt;0,'[10]EvaluaciónRiesgoCorrup 1'!$F$11&gt;75,D17=3,E17=10),$F$25,IF(AND(H17&gt;0,'[10]EvaluaciónRiesgoCorrup 1'!$F$11&gt;75,D17=3,E17=20),$G$25," ")))</f>
        <v xml:space="preserve"> </v>
      </c>
      <c r="AC17" s="29" t="str">
        <f>IF(AND(H17&gt;0,'[10]EvaluaciónRiesgoCorrup 1'!$F$11&gt;75,D17=4,E17=5),$E$26,IF(AND(H17&gt;0,'[10]EvaluaciónRiesgoCorrup 1'!$F$11&gt;75,D17=4,E17=10),$F$26,IF(AND(H17&gt;0,'[10]EvaluaciónRiesgoCorrup 1'!$F$11&gt;75,D17=4,E17=20),$G$26," ")))</f>
        <v xml:space="preserve"> </v>
      </c>
      <c r="AD17" s="29" t="str">
        <f>IF(AND(H17&gt;0,'[10]EvaluaciónRiesgoCorrup 1'!$F$11&gt;75,D17=5,E17=5),$E$27,IF(AND(H17&gt;0,'[10]EvaluaciónRiesgoCorrup 1'!$F$11&gt;75,D17=5,E17=10),$F$27,IF(AND(H17&gt;0,'[10]EvaluaciónRiesgoCorrup 1'!$F$11&gt;75,D17=5,E17=20),$G$27," ")))</f>
        <v xml:space="preserve"> </v>
      </c>
      <c r="AE17" s="30" t="s">
        <v>36</v>
      </c>
      <c r="AF17" s="29" t="str">
        <f>IF(AND(H17&gt;0,'[10]EvaluaciónRiesgoCorrup 1'!$F$11&gt;50,'[10]EvaluaciónRiesgoCorrup 1'!$F$11&lt;76,D17=1,E17=5),$E$25,IF(AND(H17&gt;0,'[10]EvaluaciónRiesgoCorrup 1'!$F$11&gt;50,'[10]EvaluaciónRiesgoCorrup 1'!$F$11&lt;76,D17=1,E17=10),$F$25,IF(AND(H17&gt;0,'[10]EvaluaciónRiesgoCorrup 1'!$F$11&gt;50,'[10]EvaluaciónRiesgoCorrup 1'!$F$11&lt;76,D17=1,E17=20),$G$25," ")))</f>
        <v xml:space="preserve"> </v>
      </c>
      <c r="AG17" s="29" t="str">
        <f>IF(AND(H17&gt;0,'[10]EvaluaciónRiesgoCorrup 1'!$F$11&gt;50,'[10]EvaluaciónRiesgoCorrup 1'!$F$11&lt;76,D17=2,E17=5),$E$25,IF(AND(H17&gt;0,'[10]EvaluaciónRiesgoCorrup 1'!$F$11&gt;50,'[10]EvaluaciónRiesgoCorrup 1'!$F$11&lt;76,D17=2,E17=10),$F$25,IF(AND(H17&gt;0,'[10]EvaluaciónRiesgoCorrup 1'!$F$11&gt;50,'[10]EvaluaciónRiesgoCorrup 1'!$F$11&lt;76,D17=2,E17=20),$G$25," ")))</f>
        <v xml:space="preserve"> </v>
      </c>
      <c r="AH17" s="29" t="str">
        <f>IF(AND(H17&gt;0,'[10]EvaluaciónRiesgoCorrup 1'!$F$11&gt;50,'[10]EvaluaciónRiesgoCorrup 1'!$F$11&lt;76,D17=3,E17=5),$E$26,IF(AND(H17&gt;0,'[10]EvaluaciónRiesgoCorrup 1'!$F$11&gt;50,'[10]EvaluaciónRiesgoCorrup 1'!$F$11&lt;76,D17=3,E17=10),$F$26,IF(AND(H17&gt;0,'[10]EvaluaciónRiesgoCorrup 1'!$F$11&gt;50,'[10]EvaluaciónRiesgoCorrup 1'!$F$11&lt;76,D17=3,E17=20),$G$26," ")))</f>
        <v xml:space="preserve"> </v>
      </c>
      <c r="AI17" s="29" t="str">
        <f>IF(AND(H17&gt;0,'[10]EvaluaciónRiesgoCorrup 1'!$F$11&gt;50,'[10]EvaluaciónRiesgoCorrup 1'!$F$11&lt;76,D17=4,E17=5),$E$27,IF(AND(H17&gt;0,'[10]EvaluaciónRiesgoCorrup 1'!$F$11&gt;50,'[10]EvaluaciónRiesgoCorrup 1'!$F$11&lt;76,D17=4,E17=10),$F$27,IF(AND(H17&gt;0,'[10]EvaluaciónRiesgoCorrup 1'!$F$11&gt;50,'[10]EvaluaciónRiesgoCorrup 1'!$F$11&lt;76,D17=4,E17=20),$G$27," ")))</f>
        <v xml:space="preserve"> </v>
      </c>
      <c r="AJ17" s="29" t="str">
        <f>IF(AND(H17&gt;0,'[10]EvaluaciónRiesgoCorrup 1'!$F$11&gt;50,'[10]EvaluaciónRiesgoCorrup 1'!$F$11&lt;76,D17=5,E17=5),$E$28,IF(AND(H17&gt;0,'[10]EvaluaciónRiesgoCorrup 1'!$F$11&gt;50,'[10]EvaluaciónRiesgoCorrup 1'!$F$11&lt;76,D17=5,E17=10),$F$28,IF(AND(H17&gt;0,'[10]EvaluaciónRiesgoCorrup 1'!$F$11&gt;50,'[10]EvaluaciónRiesgoCorrup 1'!$F$11&lt;76,D17=5,E17=20),$G$28," ")))</f>
        <v xml:space="preserve"> </v>
      </c>
      <c r="AL17" s="30" t="s">
        <v>37</v>
      </c>
      <c r="AM17" s="29" t="str">
        <f>IF(AND(H17&gt;0,'[10]EvaluaciónRiesgoCorrup 1'!$F$11&lt;51,D17=1,E17=5),$E$25,IF(AND(H17&gt;0,'[10]EvaluaciónRiesgoCorrup 1'!$F$11&lt;51,D17=1,E17=10),$F$25,IF(AND(H17&gt;0,'[10]EvaluaciónRiesgoCorrup 1'!$F$11&lt;51,D17=1,E17=20),G$25," ")))</f>
        <v xml:space="preserve"> </v>
      </c>
      <c r="AN17" s="29" t="str">
        <f>IF(AND(H17&gt;0,'[10]EvaluaciónRiesgoCorrup 1'!$F$11&lt;51,D17=2,E17=5),$E$26,IF(AND(H17&gt;0,'[10]EvaluaciónRiesgoCorrup 1'!$F$11&lt;51,D17=2,E17=10),$F$26,IF(AND(H17&gt;0,'[10]EvaluaciónRiesgoCorrup 1'!$F$11&lt;51,D17=2,E17=20),G$26," ")))</f>
        <v xml:space="preserve"> </v>
      </c>
      <c r="AO17" s="29" t="str">
        <f>IF(AND(H17&gt;0,'[10]EvaluaciónRiesgoCorrup 1'!$F$11&lt;51,D17=3,E17=5),$E$27,IF(AND(H17&gt;0,'[10]EvaluaciónRiesgoCorrup 1'!$F$11&lt;51,D17=3,E17=10),$F$27,IF(AND(H17&gt;0,'[10]EvaluaciónRiesgoCorrup 1'!$F$11&lt;51,D17=3,E17=20),G$27," ")))</f>
        <v xml:space="preserve"> </v>
      </c>
      <c r="AP17" s="29" t="str">
        <f>IF(AND(H17&gt;0,'[10]EvaluaciónRiesgoCorrup 1'!$F$11&lt;51,D17=4,E17=5),$E$28,IF(AND(H17&gt;0,'[10]EvaluaciónRiesgoCorrup 1'!$F$11&lt;51,D17=4,E17=10),$F$28,IF(AND(H17&gt;0,'[10]EvaluaciónRiesgoCorrup 1'!$F$11&lt;51,D17=4,E17=20),G$28," ")))</f>
        <v xml:space="preserve"> </v>
      </c>
      <c r="AQ17" s="29" t="str">
        <f>IF(AND(H17&gt;0,'[10]EvaluaciónRiesgoCorrup 1'!$F$11&lt;51,D17=5,E17=5),$E$29,IF(AND(H17&gt;0,'[10]EvaluaciónRiesgoCorrup 1'!$F$11&lt;51,D17=5,E17=10),$F$29,IF(AND(H17&gt;0,'[10]EvaluaciónRiesgoCorrup 1'!$F$11&lt;51,D17=5,E17=20),G$29," ")))</f>
        <v xml:space="preserve"> </v>
      </c>
      <c r="AT17" s="30" t="s">
        <v>35</v>
      </c>
      <c r="AU17" s="29" t="str">
        <f>IF(AND(I17&gt;0,'[10]EvaluaciónRiesgoCorrup 1'!$F$11&gt;75,D17=1,E17=5),$E$25,IF(AND(I17&gt;0,'[10]EvaluaciónRiesgoCorrup 1'!$F$11&gt;75,D17=1,E17=10),$E$25,IF(AND(I17&gt;0,'[10]EvaluaciónRiesgoCorrup 1'!$F$11&gt;75,D17=1,E17=20),$E$25," ")))</f>
        <v>B</v>
      </c>
      <c r="AV17" s="29" t="str">
        <f>IF(AND(I17&gt;0,'[10]EvaluaciónRiesgoCorrup 1'!$F$11&gt;75,D17=2,E17=5),$E$26,IF(AND(I17&gt;0,'[10]EvaluaciónRiesgoCorrup 1'!$F$11&gt;75,D17=2,E17=10),$E$26,IF(AND(I17&gt;0,'[10]EvaluaciónRiesgoCorrup 1'!$F$11&gt;75,D17=2,E17=20),$E$26," ")))</f>
        <v xml:space="preserve"> </v>
      </c>
      <c r="AW17" s="29" t="str">
        <f>IF(AND(I17&gt;0,'[10]EvaluaciónRiesgoCorrup 1'!$F$11&gt;75,D17=3,E17=5),$E$27,IF(AND(I17&gt;0,'[10]EvaluaciónRiesgoCorrup 1'!$F$11&gt;75,D17=3,E17=10),$E$27,IF(AND(I17&gt;0,'[10]EvaluaciónRiesgoCorrup 1'!$F$11&gt;75,D17=3,E17=20),$E$27," ")))</f>
        <v xml:space="preserve"> </v>
      </c>
      <c r="AX17" s="29" t="str">
        <f>IF(AND(I17&gt;0,'[10]EvaluaciónRiesgoCorrup 1'!$F$11&gt;75,D17=4,E17=5),$E$28,IF(AND(I17&gt;0,'[10]EvaluaciónRiesgoCorrup 1'!$F$11&gt;75,D17=4,E17=10),$E$28,IF(AND(I17&gt;0,'[10]EvaluaciónRiesgoCorrup 1'!$F$11&gt;75,D17=4,E17=20),$E$28," ")))</f>
        <v xml:space="preserve"> </v>
      </c>
      <c r="AY17" s="29" t="str">
        <f>IF(AND(I17&gt;0,'[10]EvaluaciónRiesgoCorrup 1'!$F$11&gt;75,D17=5,E17=5),$E$29,IF(AND(I17&gt;0,'[10]EvaluaciónRiesgoCorrup 1'!$F$11&gt;75,D17=5,E17=10),$E$29,IF(AND(I17&gt;0,'[10]EvaluaciónRiesgoCorrup 1'!$F$11&gt;75,D17=5,E17=20),$E$29," ")))</f>
        <v xml:space="preserve"> </v>
      </c>
      <c r="BA17" s="30" t="s">
        <v>36</v>
      </c>
      <c r="BB17" s="29" t="str">
        <f>IF(AND(I17&gt;0,'[10]EvaluaciónRiesgoCorrup 1'!$F$11&gt;50,'[10]EvaluaciónRiesgoCorrup 1'!$F$11&lt;76,D17=1,E17=5),$E$25,IF(AND(I17&gt;0,'[10]EvaluaciónRiesgoCorrup 1'!$F$11&gt;50,'[10]EvaluaciónRiesgoCorrup 1'!$F$11&lt;76,D17=1,E17=10),$E$25,IF(AND(I17&gt;0,'[10]EvaluaciónRiesgoCorrup 1'!$F$11&gt;50,'[10]EvaluaciónRiesgoCorrup 1'!$F$11&lt;76,D17=1,E17=20),$F$25," ")))</f>
        <v xml:space="preserve"> </v>
      </c>
      <c r="BC17" s="29" t="str">
        <f>IF(AND(I17&gt;0,'[10]EvaluaciónRiesgoCorrup 1'!$F$11&gt;50,'[10]EvaluaciónRiesgoCorrup 1'!$F$11&lt;76,D17=2,E17=5),$E$26,IF(AND(I17&gt;0,'[10]EvaluaciónRiesgoCorrup 1'!$F$11&gt;50,'[10]EvaluaciónRiesgoCorrup 1'!$F$11&lt;76,D17=2,E17=10),$E$26,IF(AND(I17&gt;0,'[10]EvaluaciónRiesgoCorrup 1'!$F$11&gt;50,'[10]EvaluaciónRiesgoCorrup 1'!$F$11&lt;76,D17=2,E17=20),$F$26," ")))</f>
        <v xml:space="preserve"> </v>
      </c>
      <c r="BD17" s="29" t="str">
        <f>IF(AND(I17&gt;0,'[10]EvaluaciónRiesgoCorrup 1'!$F$11&gt;50,'[10]EvaluaciónRiesgoCorrup 1'!$F$11&lt;76,D17=3,E17=5),$E$27,IF(AND(I17&gt;0,'[10]EvaluaciónRiesgoCorrup 1'!$F$11&gt;50,'[10]EvaluaciónRiesgoCorrup 1'!$F$11&lt;76,D17=3,E17=10),$E$27,IF(AND(I17&gt;0,'[10]EvaluaciónRiesgoCorrup 1'!$F$11&gt;50,'[10]EvaluaciónRiesgoCorrup 1'!$F$11&lt;76,D17=3,E17=20),$F$27," ")))</f>
        <v xml:space="preserve"> </v>
      </c>
      <c r="BE17" s="29" t="str">
        <f>IF(AND(I17&gt;0,'[10]EvaluaciónRiesgoCorrup 1'!$F$11&gt;50,'[10]EvaluaciónRiesgoCorrup 1'!$F$11&lt;76,D17=4,E17=5),$E$28,IF(AND(I17&gt;0,'[10]EvaluaciónRiesgoCorrup 1'!$F$11&gt;50,'[10]EvaluaciónRiesgoCorrup 1'!$F$11&lt;76,D17=4,E17=10),$E$28,IF(AND(I17&gt;0,'[10]EvaluaciónRiesgoCorrup 1'!$F$11&gt;50,'[10]EvaluaciónRiesgoCorrup 1'!$F$11&lt;76,D17=4,E17=20),$F$28," ")))</f>
        <v xml:space="preserve"> </v>
      </c>
      <c r="BF17" s="29" t="str">
        <f>IF(AND(I17&gt;0,'[10]EvaluaciónRiesgoCorrup 1'!$F$11&gt;50,'[10]EvaluaciónRiesgoCorrup 1'!$F$11&lt;76,D17=5,E17=5),$E$29,IF(AND(I17&gt;0,'[10]EvaluaciónRiesgoCorrup 1'!$F$11&gt;50,'[10]EvaluaciónRiesgoCorrup 1'!$F$11&lt;76,D17=5,E17=10),$E$29,IF(AND(I17&gt;0,'[10]EvaluaciónRiesgoCorrup 1'!$F$11&gt;50,'[10]EvaluaciónRiesgoCorrup 1'!$F$11&lt;76,D17=5,E17=20),$F$29," ")))</f>
        <v xml:space="preserve"> </v>
      </c>
      <c r="BH17" s="30" t="s">
        <v>37</v>
      </c>
      <c r="BI17" s="29" t="str">
        <f>IF(AND(I17&gt;0,'[10]EvaluaciónRiesgoCorrup 1'!$F$11&lt;51,D17=1,E17=5),$E$25,IF(AND(I17&gt;0,'[10]EvaluaciónRiesgoCorrup 1'!$F$11&lt;51,D17=1,E17=10),$F$25,IF(AND(I17&gt;0,'[10]EvaluaciónRiesgoCorrup 1'!$F$11&lt;51,D17=1,E17=20),$G$25," ")))</f>
        <v xml:space="preserve"> </v>
      </c>
      <c r="BJ17" s="29" t="str">
        <f>IF(AND(I17&gt;0,'[10]EvaluaciónRiesgoCorrup 1'!$F$11&lt;51,D17=2,E17=5),$E$26,IF(AND(I17&gt;0,'[10]EvaluaciónRiesgoCorrup 1'!$F$11&lt;51,D17=2,E17=10),$F$26,IF(AND(I17&gt;0,'[10]EvaluaciónRiesgoCorrup 1'!$F$11&lt;51,D17=2,E17=20),$G$26," ")))</f>
        <v xml:space="preserve"> </v>
      </c>
      <c r="BK17" s="29" t="str">
        <f>IF(AND(I17&gt;0,'[10]EvaluaciónRiesgoCorrup 1'!$F$11&lt;51,D17=3,E17=5),$E$27,IF(AND(I17&gt;0,'[10]EvaluaciónRiesgoCorrup 1'!$F$11&lt;51,D17=3,E17=10),$F$27,IF(AND(I17&gt;0,'[10]EvaluaciónRiesgoCorrup 1'!$F$11&lt;51,D17=3,E17=20),$G$27," ")))</f>
        <v xml:space="preserve"> </v>
      </c>
      <c r="BL17" s="29" t="str">
        <f>IF(AND(I17&gt;0,'[10]EvaluaciónRiesgoCorrup 1'!$F$11&lt;51,D17=4,E17=5),$E$28,IF(AND(I17&gt;0,'[10]EvaluaciónRiesgoCorrup 1'!$F$11&lt;51,D17=4,E17=10),$F$28,IF(AND(I17&gt;0,'[10]EvaluaciónRiesgoCorrup 1'!$F$11&lt;51,D17=4,E17=20),$G$28," ")))</f>
        <v xml:space="preserve"> </v>
      </c>
      <c r="BM17" s="29" t="str">
        <f>IF(AND(I17&gt;0,'[10]EvaluaciónRiesgoCorrup 1'!$F$11&lt;51,D17=5,E17=5),$E$29,IF(AND(I17&gt;0,'[10]EvaluaciónRiesgoCorrup 1'!$F$11&lt;51,D17=5,E17=10),$F$29,IF(AND(I17&gt;0,'[10]EvaluaciónRiesgoCorrup 1'!$F$11&lt;51,D17=5,E17=20),$G$29," ")))</f>
        <v xml:space="preserve"> </v>
      </c>
    </row>
    <row r="18" spans="1:65" ht="153.75" customHeight="1" x14ac:dyDescent="0.25">
      <c r="A18" s="22" t="str">
        <f>[10]IdentRiesgo!A7</f>
        <v>Ofrecimiento de prevendas al funcionario encargado del establecimiento de los indicadores</v>
      </c>
      <c r="B18" s="22" t="str">
        <f>[10]IdentRiesgo!B7</f>
        <v>Favorecimiento económico a terceros en las licitaciones del Instituto.</v>
      </c>
      <c r="C18" s="22" t="str">
        <f>[10]IdentRiesgo!D7</f>
        <v>Corrupción de Funcionario y/o contratista del grupo de contabilidad y sanciones disciplinarias por parte de los entes de control</v>
      </c>
      <c r="D18" s="23">
        <f>IF([10]AnálisisRiesgo!B10&gt;0,5,IF([10]AnálisisRiesgo!C10&gt;0,4,IF([10]AnálisisRiesgo!D10&gt;0,3,IF([10]AnálisisRiesgo!E10&gt;0,2,IF([10]AnálisisRiesgo!F10&gt;0,1,"")))))</f>
        <v>1</v>
      </c>
      <c r="E18" s="23">
        <f>IF([10]AnálisisRiesgo!G10&gt;0,5,IF([10]AnálisisRiesgo!H10&gt;0,4,IF([10]AnálisisRiesgo!I10&gt;0,3,IF([10]AnálisisRiesgo!J10&gt;0,2,IF([10]AnálisisRiesgo!K10&gt;0,1,IF([10]AnálisisRiesgo!L10&gt;0,20,IF([10]AnálisisRiesgo!M10&gt;0,10,IF([10]AnálisisRiesgo!N10&gt;0,5,""))))))))</f>
        <v>10</v>
      </c>
      <c r="F18" s="23" t="str">
        <f t="shared" ref="F18:F20" si="0">CONCATENATE(S18,T18,U18,V18,W18)</f>
        <v xml:space="preserve">B    </v>
      </c>
      <c r="G18" s="23" t="s">
        <v>69</v>
      </c>
      <c r="H18" s="25"/>
      <c r="I18" s="26" t="s">
        <v>32</v>
      </c>
      <c r="J18" s="23" t="str">
        <f>CONCATENATE(Z18,AA18,AB18,AC18,AD18,AF18,AG18,AH18,AI18,AJ18,AM18,AN18,AO18,AP18,AQ18,AU18,AV18,AW18,AX18,AY18,BB18,BC18,BD18,BE18,BF18,BI18,BJ18,BK18,BL18,BM18)</f>
        <v xml:space="preserve">                    B         </v>
      </c>
      <c r="K18" s="23" t="s">
        <v>66</v>
      </c>
      <c r="L18" s="23" t="s">
        <v>70</v>
      </c>
      <c r="M18" s="23" t="s">
        <v>71</v>
      </c>
      <c r="N18" s="47"/>
      <c r="O18" s="27"/>
      <c r="P18" s="27"/>
      <c r="Q18" s="29"/>
      <c r="S18" s="29" t="str">
        <f>IF(AND(D18=1,E18=5),$E$25,IF(AND(D18=1,E18=10),$F$25,IF(AND(D18=1,E18=20),$G$25," ")))</f>
        <v>B</v>
      </c>
      <c r="T18" s="29" t="str">
        <f>IF(AND(D18=2,E18=5),$E$26,IF(AND(D18=2,E18=10),$F$26,IF(AND(D18=2,E18=20),$G$26," ")))</f>
        <v xml:space="preserve"> </v>
      </c>
      <c r="U18" s="29" t="str">
        <f>IF(AND(D18=3,E18=5),$E$27,IF(AND(D18=3,E18=10),$F$27,IF(AND(D18=3,E18=20),$G$27," ")))</f>
        <v xml:space="preserve"> </v>
      </c>
      <c r="V18" s="29" t="str">
        <f>IF(AND(D18=4,E18=5),$E$28,IF(AND(D18=4,E18=10),$F$28,IF(AND(D18=4,E18=20),$G$28," ")))</f>
        <v xml:space="preserve"> </v>
      </c>
      <c r="W18" s="29" t="str">
        <f>IF(AND(D18=5,E18=5),$E$29,IF(AND(D18=5,E18=10),$F$29,IF(AND(D18=5,E18=20),$G$29," ")))</f>
        <v xml:space="preserve"> </v>
      </c>
      <c r="Z18" s="29" t="str">
        <f>IF(AND(H18&gt;0,'[10]EvaluaciónRiesgoCorrup  (2)'!$F$11&gt;75,D18=1,E18=5),$E$25,IF(AND(H18&gt;0,'[10]EvaluaciónRiesgoCorrup  (2)'!$F$11&gt;75,D18=1,E18=10),$F$25,IF(AND(H18&gt;0,'[10]EvaluaciónRiesgoCorrup  (2)'!$F$11&gt;75,D18=1,E18=20),$G$25," ")))</f>
        <v xml:space="preserve"> </v>
      </c>
      <c r="AA18" s="29" t="str">
        <f>IF(AND(H18&gt;0,'[10]EvaluaciónRiesgoCorrup  (2)'!$F$11&gt;75,D18=2,E18=5),$E$25,IF(AND(H18&gt;0,'[10]EvaluaciónRiesgoCorrup  (2)'!$F$11&gt;75,D18=2,E18=10),$F$25,IF(AND(H18&gt;0,'[10]EvaluaciónRiesgoCorrup  (2)'!$F$11&gt;75,D18=2,E18=20),$G$25," ")))</f>
        <v xml:space="preserve"> </v>
      </c>
      <c r="AB18" s="29" t="str">
        <f>IF(AND(H18&gt;0,'[10]EvaluaciónRiesgoCorrup  (2)'!$F$11&gt;75,D18=3,E18=5),$E$25,IF(AND(H18&gt;0,'[10]EvaluaciónRiesgoCorrup  (2)'!$F$11&gt;75,D18=3,E18=10),$F$25,IF(AND(H18&gt;0,'[10]EvaluaciónRiesgoCorrup  (2)'!$F$11&gt;75,D18=3,E18=20),$G$25," ")))</f>
        <v xml:space="preserve"> </v>
      </c>
      <c r="AC18" s="29" t="str">
        <f>IF(AND(H18&gt;0,'[10]EvaluaciónRiesgoCorrup  (2)'!$F$11&gt;75,D18=4,E18=5),$E$26,IF(AND(H18&gt;0,'[10]EvaluaciónRiesgoCorrup  (2)'!$F$11&gt;75,D18=4,E18=10),$F$26,IF(AND(H18&gt;0,'[10]EvaluaciónRiesgoCorrup  (2)'!$F$11&gt;75,D18=4,E18=20),$G$26," ")))</f>
        <v xml:space="preserve"> </v>
      </c>
      <c r="AD18" s="29" t="str">
        <f>IF(AND(H18&gt;0,'[10]EvaluaciónRiesgoCorrup  (2)'!$F$11&gt;75,D18=5,E18=5),$E$27,IF(AND(H18&gt;0,'[10]EvaluaciónRiesgoCorrup  (2)'!$F$11&gt;75,D18=5,E18=10),$F$27,IF(AND(H18&gt;0,'[10]EvaluaciónRiesgoCorrup  (2)'!$F$11&gt;75,D18=5,E18=20),$G$27," ")))</f>
        <v xml:space="preserve"> </v>
      </c>
      <c r="AF18" s="29" t="str">
        <f>IF(AND(H18&gt;0,'[10]EvaluaciónRiesgoCorrup  (2)'!$F$11&gt;50,'[10]EvaluaciónRiesgoCorrup  (2)'!$F$11&lt;76,D18=1,E18=5),$E$25,IF(AND(H18&gt;0,'[10]EvaluaciónRiesgoCorrup  (2)'!$F$11&gt;50,'[10]EvaluaciónRiesgoCorrup  (2)'!$F$11&lt;76,D18=1,E18=10),$F$25,IF(AND(H18&gt;0,'[10]EvaluaciónRiesgoCorrup  (2)'!$F$11&gt;50,'[10]EvaluaciónRiesgoCorrup  (2)'!$F$11&lt;76,D18=1,E18=20),$G$25," ")))</f>
        <v xml:space="preserve"> </v>
      </c>
      <c r="AG18" s="29" t="str">
        <f>IF(AND(H18&gt;0,'[10]EvaluaciónRiesgoCorrup  (2)'!$F$11&gt;50,'[10]EvaluaciónRiesgoCorrup  (2)'!$F$11&lt;76,D18=2,E18=5),$E$25,IF(AND(H18&gt;0,'[10]EvaluaciónRiesgoCorrup  (2)'!$F$11&gt;50,'[10]EvaluaciónRiesgoCorrup  (2)'!$F$11&lt;76,D18=2,E18=10),$F$25,IF(AND(H18&gt;0,'[10]EvaluaciónRiesgoCorrup  (2)'!$F$11&gt;50,'[10]EvaluaciónRiesgoCorrup  (2)'!$F$11&lt;76,D18=2,E18=20),$G$25," ")))</f>
        <v xml:space="preserve"> </v>
      </c>
      <c r="AH18" s="29" t="str">
        <f>IF(AND(H18&gt;0,'[10]EvaluaciónRiesgoCorrup  (2)'!$F$11&gt;50,'[10]EvaluaciónRiesgoCorrup  (2)'!$F$11&lt;76,D18=3,E18=5),$E$26,IF(AND(H18&gt;0,'[10]EvaluaciónRiesgoCorrup  (2)'!$F$11&gt;50,'[10]EvaluaciónRiesgoCorrup  (2)'!$F$11&lt;76,D18=3,E18=10),$F$26,IF(AND(H18&gt;0,'[10]EvaluaciónRiesgoCorrup  (2)'!$F$11&gt;50,'[10]EvaluaciónRiesgoCorrup  (2)'!$F$11&lt;76,D18=3,E18=20),$G$26," ")))</f>
        <v xml:space="preserve"> </v>
      </c>
      <c r="AI18" s="29" t="str">
        <f>IF(AND(H18&gt;0,'[10]EvaluaciónRiesgoCorrup  (2)'!$F$11&gt;50,'[10]EvaluaciónRiesgoCorrup  (2)'!$F$11&lt;76,D18=4,E18=5),$E$27,IF(AND(H18&gt;0,'[10]EvaluaciónRiesgoCorrup  (2)'!$F$11&gt;50,'[10]EvaluaciónRiesgoCorrup  (2)'!$F$11&lt;76,D18=4,E18=10),$F$27,IF(AND(H18&gt;0,'[10]EvaluaciónRiesgoCorrup  (2)'!$F$11&gt;50,'[10]EvaluaciónRiesgoCorrup  (2)'!$F$11&lt;76,D18=4,E18=20),$G$27," ")))</f>
        <v xml:space="preserve"> </v>
      </c>
      <c r="AJ18" s="29" t="str">
        <f>IF(AND(H18&gt;0,'[10]EvaluaciónRiesgoCorrup  (2)'!$F$11&gt;50,'[10]EvaluaciónRiesgoCorrup  (2)'!$F$11&lt;76,D18=5,E18=5),$E$28,IF(AND(H18&gt;0,'[10]EvaluaciónRiesgoCorrup  (2)'!$F$11&gt;50,'[10]EvaluaciónRiesgoCorrup  (2)'!$F$11&lt;76,D18=5,E18=10),$F$28,IF(AND(H18&gt;0,'[10]EvaluaciónRiesgoCorrup  (2)'!$F$11&gt;50,'[10]EvaluaciónRiesgoCorrup  (2)'!$F$11&lt;76,D18=5,E18=20),$G$28," ")))</f>
        <v xml:space="preserve"> </v>
      </c>
      <c r="AM18" s="29" t="str">
        <f>IF(AND(H18&gt;0,'[10]EvaluaciónRiesgoCorrup  (2)'!$F$11&lt;51,D18=1,E18=5),$E$25,IF(AND(H18&gt;0,'[10]EvaluaciónRiesgoCorrup  (2)'!$F$11&lt;51,D18=1,E18=10),$F$25,IF(AND(H18&gt;0,'[10]EvaluaciónRiesgoCorrup  (2)'!$F$11&lt;51,D18=1,E18=20),G$25," ")))</f>
        <v xml:space="preserve"> </v>
      </c>
      <c r="AN18" s="29" t="str">
        <f>IF(AND(H18&gt;0,'[10]EvaluaciónRiesgoCorrup  (2)'!$F$11&lt;51,D18=2,E18=5),$E$26,IF(AND(H18&gt;0,'[10]EvaluaciónRiesgoCorrup  (2)'!$F$11&lt;51,D18=2,E18=10),$F$26,IF(AND(H18&gt;0,'[10]EvaluaciónRiesgoCorrup  (2)'!$F$11&lt;51,D18=2,E18=20),G$26," ")))</f>
        <v xml:space="preserve"> </v>
      </c>
      <c r="AO18" s="29" t="str">
        <f>IF(AND(H18&gt;0,'[10]EvaluaciónRiesgoCorrup  (2)'!$F$11&lt;51,D18=3,E18=5),$E$27,IF(AND(H18&gt;0,'[10]EvaluaciónRiesgoCorrup  (2)'!$F$11&lt;51,D18=3,E18=10),$F$27,IF(AND(H18&gt;0,'[10]EvaluaciónRiesgoCorrup  (2)'!$F$11&lt;51,D18=3,E18=20),G$27," ")))</f>
        <v xml:space="preserve"> </v>
      </c>
      <c r="AP18" s="29" t="str">
        <f>IF(AND(H18&gt;0,'[10]EvaluaciónRiesgoCorrup  (2)'!$F$11&lt;51,D18=4,E18=5),$E$28,IF(AND(H18&gt;0,'[10]EvaluaciónRiesgoCorrup  (2)'!$F$11&lt;51,D18=4,E18=10),$F$28,IF(AND(H18&gt;0,'[10]EvaluaciónRiesgoCorrup  (2)'!$F$11&lt;51,D18=4,E18=20),G$28," ")))</f>
        <v xml:space="preserve"> </v>
      </c>
      <c r="AQ18" s="29" t="str">
        <f>IF(AND(H18&gt;0,'[10]EvaluaciónRiesgoCorrup  (2)'!$F$11&lt;51,D18=5,E18=5),$E$29,IF(AND(H18&gt;0,'[10]EvaluaciónRiesgoCorrup  (2)'!$F$11&lt;51,D18=5,E18=10),$F$29,IF(AND(H18&gt;0,'[10]EvaluaciónRiesgoCorrup  (2)'!$F$11&lt;51,D18=5,E18=20),G$29," ")))</f>
        <v xml:space="preserve"> </v>
      </c>
      <c r="AU18" s="29" t="str">
        <f>IF(AND(I18&gt;0,'[10]EvaluaciónRiesgoCorrup  (2)'!$F$11&gt;75,D18=1,E18=5),$E$25,IF(AND(I18&gt;0,'[10]EvaluaciónRiesgoCorrup  (2)'!$F$11&gt;75,D18=1,E18=10),$E$25,IF(AND(I18&gt;0,'[10]EvaluaciónRiesgoCorrup  (2)'!$F$11&gt;75,D18=1,E18=20),$E$25," ")))</f>
        <v xml:space="preserve"> </v>
      </c>
      <c r="AV18" s="29" t="str">
        <f>IF(AND(I18&gt;0,'[10]EvaluaciónRiesgoCorrup  (2)'!$F$11&gt;75,D18=2,E18=5),$E$26,IF(AND(I18&gt;0,'[10]EvaluaciónRiesgoCorrup  (2)'!$F$11&gt;75,D18=2,E18=10),$E$26,IF(AND(I18&gt;0,'[10]EvaluaciónRiesgoCorrup  (2)'!$F$11&gt;75,D18=2,E18=20),$E$26," ")))</f>
        <v xml:space="preserve"> </v>
      </c>
      <c r="AW18" s="29" t="str">
        <f>IF(AND(I18&gt;0,'[10]EvaluaciónRiesgoCorrup  (2)'!$F$11&gt;75,D18=3,E18=5),$E$27,IF(AND(I18&gt;0,'[10]EvaluaciónRiesgoCorrup  (2)'!$F$11&gt;75,D18=3,E18=10),$E$27,IF(AND(I18&gt;0,'[10]EvaluaciónRiesgoCorrup  (2)'!$F$11&gt;75,D18=3,E18=20),$E$27," ")))</f>
        <v xml:space="preserve"> </v>
      </c>
      <c r="AX18" s="29" t="str">
        <f>IF(AND(I18&gt;0,'[10]EvaluaciónRiesgoCorrup  (2)'!$F$11&gt;75,D18=4,E18=5),$E$28,IF(AND(I18&gt;0,'[10]EvaluaciónRiesgoCorrup  (2)'!$F$11&gt;75,D18=4,E18=10),$E$28,IF(AND(I18&gt;0,'[10]EvaluaciónRiesgoCorrup  (2)'!$F$11&gt;75,D18=4,E18=20),$E$28," ")))</f>
        <v xml:space="preserve"> </v>
      </c>
      <c r="AY18" s="29" t="str">
        <f>IF(AND(I18&gt;0,'[10]EvaluaciónRiesgoCorrup  (2)'!$F$11&gt;75,D18=5,E18=5),$E$29,IF(AND(I18&gt;0,'[10]EvaluaciónRiesgoCorrup  (2)'!$F$11&gt;75,D18=5,E18=10),$E$29,IF(AND(I18&gt;0,'[10]EvaluaciónRiesgoCorrup  (2)'!$F$11&gt;75,D18=5,E18=20),$E$29," ")))</f>
        <v xml:space="preserve"> </v>
      </c>
      <c r="BB18" s="29" t="str">
        <f>IF(AND(I18&gt;0,'[10]EvaluaciónRiesgoCorrup  (2)'!$F$11&gt;50,'[10]EvaluaciónRiesgoCorrup  (2)'!$F$11&lt;76,D18=1,E18=5),$E$25,IF(AND(I18&gt;0,'[10]EvaluaciónRiesgoCorrup  (2)'!$F$11&gt;50,'[10]EvaluaciónRiesgoCorrup  (2)'!$F$11&lt;76,D18=1,E18=10),$E$25,IF(AND(I18&gt;0,'[10]EvaluaciónRiesgoCorrup  (2)'!$F$11&gt;50,'[10]EvaluaciónRiesgoCorrup  (2)'!$F$11&lt;76,D18=1,E18=20),$F$25," ")))</f>
        <v>B</v>
      </c>
      <c r="BC18" s="29" t="str">
        <f>IF(AND(I18&gt;0,'[10]EvaluaciónRiesgoCorrup  (2)'!$F$11&gt;50,'[10]EvaluaciónRiesgoCorrup  (2)'!$F$11&lt;76,D18=2,E18=5),$E$26,IF(AND(I18&gt;0,'[10]EvaluaciónRiesgoCorrup  (2)'!$F$11&gt;50,'[10]EvaluaciónRiesgoCorrup  (2)'!$F$11&lt;76,D18=2,E18=10),$E$26,IF(AND(I18&gt;0,'[10]EvaluaciónRiesgoCorrup  (2)'!$F$11&gt;50,'[10]EvaluaciónRiesgoCorrup  (2)'!$F$11&lt;76,D18=2,E18=20),$F$26," ")))</f>
        <v xml:space="preserve"> </v>
      </c>
      <c r="BD18" s="29" t="str">
        <f>IF(AND(I18&gt;0,'[10]EvaluaciónRiesgoCorrup  (2)'!$F$11&gt;50,'[10]EvaluaciónRiesgoCorrup  (2)'!$F$11&lt;76,D18=3,E18=5),$E$27,IF(AND(I18&gt;0,'[10]EvaluaciónRiesgoCorrup  (2)'!$F$11&gt;50,'[10]EvaluaciónRiesgoCorrup  (2)'!$F$11&lt;76,D18=3,E18=10),$E$27,IF(AND(I18&gt;0,'[10]EvaluaciónRiesgoCorrup  (2)'!$F$11&gt;50,'[10]EvaluaciónRiesgoCorrup  (2)'!$F$11&lt;76,D18=3,E18=20),$F$27," ")))</f>
        <v xml:space="preserve"> </v>
      </c>
      <c r="BE18" s="29" t="str">
        <f>IF(AND(I18&gt;0,'[10]EvaluaciónRiesgoCorrup  (2)'!$F$11&gt;50,'[10]EvaluaciónRiesgoCorrup  (2)'!$F$11&lt;76,D18=4,E18=5),$E$28,IF(AND(I18&gt;0,'[10]EvaluaciónRiesgoCorrup  (2)'!$F$11&gt;50,'[10]EvaluaciónRiesgoCorrup  (2)'!$F$11&lt;76,D18=4,E18=10),$E$28,IF(AND(I18&gt;0,'[10]EvaluaciónRiesgoCorrup  (2)'!$F$11&gt;50,'[10]EvaluaciónRiesgoCorrup  (2)'!$F$11&lt;76,D18=4,E18=20),$F$28," ")))</f>
        <v xml:space="preserve"> </v>
      </c>
      <c r="BF18" s="29" t="str">
        <f>IF(AND(I18&gt;0,'[10]EvaluaciónRiesgoCorrup  (2)'!$F$11&gt;50,'[10]EvaluaciónRiesgoCorrup  (2)'!$F$11&lt;76,D18=5,E18=5),$E$29,IF(AND(I18&gt;0,'[10]EvaluaciónRiesgoCorrup  (2)'!$F$11&gt;50,'[10]EvaluaciónRiesgoCorrup  (2)'!$F$11&lt;76,D18=5,E18=10),$E$29,IF(AND(I18&gt;0,'[10]EvaluaciónRiesgoCorrup  (2)'!$F$11&gt;50,'[10]EvaluaciónRiesgoCorrup  (2)'!$F$11&lt;76,D18=5,E18=20),$F$29," ")))</f>
        <v xml:space="preserve"> </v>
      </c>
      <c r="BI18" s="29" t="str">
        <f>IF(AND(I18&gt;0,'[10]EvaluaciónRiesgoCorrup  (2)'!$F$11&lt;51,D18=1,E18=5),$E$25,IF(AND(I18&gt;0,'[10]EvaluaciónRiesgoCorrup  (2)'!$F$11&lt;51,D18=1,E18=10),$F$25,IF(AND(I18&gt;0,'[10]EvaluaciónRiesgoCorrup  (2)'!$F$11&lt;51,D18=1,E18=20),$G$25," ")))</f>
        <v xml:space="preserve"> </v>
      </c>
      <c r="BJ18" s="29" t="str">
        <f>IF(AND(I18&gt;0,'[10]EvaluaciónRiesgoCorrup  (2)'!$F$11&lt;51,D18=2,E18=5),$E$26,IF(AND(I18&gt;0,'[10]EvaluaciónRiesgoCorrup  (2)'!$F$11&lt;51,D18=2,E18=10),$F$26,IF(AND(I18&gt;0,'[10]EvaluaciónRiesgoCorrup  (2)'!$F$11&lt;51,D18=2,E18=20),$G$26," ")))</f>
        <v xml:space="preserve"> </v>
      </c>
      <c r="BK18" s="29" t="str">
        <f>IF(AND(I18&gt;0,'[10]EvaluaciónRiesgoCorrup  (2)'!$F$11&lt;51,D18=3,E18=5),$E$27,IF(AND(I18&gt;0,'[10]EvaluaciónRiesgoCorrup  (2)'!$F$11&lt;51,D18=3,E18=10),$F$27,IF(AND(I18&gt;0,'[10]EvaluaciónRiesgoCorrup  (2)'!$F$11&lt;51,D18=3,E18=20),$G$27," ")))</f>
        <v xml:space="preserve"> </v>
      </c>
      <c r="BL18" s="29" t="str">
        <f>IF(AND(I18&gt;0,'[10]EvaluaciónRiesgoCorrup  (2)'!$F$11&lt;51,D18=4,E18=5),$E$28,IF(AND(I18&gt;0,'[10]EvaluaciónRiesgoCorrup  (2)'!$F$11&lt;51,D18=4,E18=10),$F$28,IF(AND(I18&gt;0,'[10]EvaluaciónRiesgoCorrup  (2)'!$F$11&lt;51,D18=4,E18=20),$G$28," ")))</f>
        <v xml:space="preserve"> </v>
      </c>
      <c r="BM18" s="29" t="str">
        <f>IF(AND(I18&gt;0,'[10]EvaluaciónRiesgoCorrup  (2)'!$F$11&lt;51,D18=5,E18=5),$E$29,IF(AND(I18&gt;0,'[10]EvaluaciónRiesgoCorrup  (2)'!$F$11&lt;51,D18=5,E18=10),$F$29,IF(AND(I18&gt;0,'[10]EvaluaciónRiesgoCorrup  (2)'!$F$11&lt;51,D18=5,E18=20),$G$29," ")))</f>
        <v xml:space="preserve"> </v>
      </c>
    </row>
    <row r="19" spans="1:65" ht="153.75" customHeight="1" x14ac:dyDescent="0.25">
      <c r="A19" s="22" t="str">
        <f>[10]IdentRiesgo!A8</f>
        <v>Ofrecimiento de prevendas al funcionario encargado de la amortizacion de los anticipos</v>
      </c>
      <c r="B19" s="22" t="str">
        <f>[10]IdentRiesgo!B8</f>
        <v xml:space="preserve">Favorecer a los proveedores de contratos con la bolsa mercantil. </v>
      </c>
      <c r="C19" s="22" t="str">
        <f>[10]IdentRiesgo!D8</f>
        <v>Corrupción de Funcionario y/o contratista del grupo de contabilidad y sanciones disciplinarias por parte de los entes de control</v>
      </c>
      <c r="D19" s="23">
        <f>IF([10]AnálisisRiesgo!B11&gt;0,5,IF([10]AnálisisRiesgo!C11&gt;0,4,IF([10]AnálisisRiesgo!D11&gt;0,3,IF([10]AnálisisRiesgo!E11&gt;0,2,IF([10]AnálisisRiesgo!F11&gt;0,1,"")))))</f>
        <v>1</v>
      </c>
      <c r="E19" s="23">
        <f>IF([10]AnálisisRiesgo!G11&gt;0,5,IF([10]AnálisisRiesgo!H11&gt;0,4,IF([10]AnálisisRiesgo!I11&gt;0,3,IF([10]AnálisisRiesgo!J11&gt;0,2,IF([10]AnálisisRiesgo!K11&gt;0,1,IF([10]AnálisisRiesgo!L11&gt;0,20,IF([10]AnálisisRiesgo!M11&gt;0,10,IF([10]AnálisisRiesgo!N11&gt;0,5,""))))))))</f>
        <v>10</v>
      </c>
      <c r="F19" s="23" t="str">
        <f t="shared" si="0"/>
        <v xml:space="preserve">B    </v>
      </c>
      <c r="G19" s="23" t="s">
        <v>72</v>
      </c>
      <c r="H19" s="25"/>
      <c r="I19" s="26" t="s">
        <v>32</v>
      </c>
      <c r="J19" s="23" t="str">
        <f t="shared" ref="J19:J20" si="1">CONCATENATE(Z19,AA19,AB19,AC19,AD19,AF19,AG19,AH19,AI19,AJ19,AM19,AN19,AO19,AP19,AQ19,AU19,AV19,AW19,AX19,AY19,BB19,BC19,BD19,BE19,BF19,BI19,BJ19,BK19,BL19,BM19)</f>
        <v xml:space="preserve">                    B         </v>
      </c>
      <c r="K19" s="23" t="s">
        <v>66</v>
      </c>
      <c r="L19" s="23" t="s">
        <v>73</v>
      </c>
      <c r="M19" s="23" t="s">
        <v>71</v>
      </c>
      <c r="N19" s="47"/>
      <c r="O19" s="27"/>
      <c r="P19" s="27"/>
      <c r="Q19" s="29"/>
      <c r="S19" s="29" t="str">
        <f>IF(AND(D19=1,E19=5),$E$25,IF(AND(D19=1,E19=10),$F$25,IF(AND(D19=1,E19=20),$G$25," ")))</f>
        <v>B</v>
      </c>
      <c r="T19" s="29" t="str">
        <f>IF(AND(D19=2,E19=5),$E$26,IF(AND(D19=2,E19=10),$F$26,IF(AND(D19=2,E19=20),$G$26," ")))</f>
        <v xml:space="preserve"> </v>
      </c>
      <c r="U19" s="29" t="str">
        <f>IF(AND(D19=3,E19=5),$E$27,IF(AND(D19=3,E19=10),$F$27,IF(AND(D19=3,E19=20),$G$27," ")))</f>
        <v xml:space="preserve"> </v>
      </c>
      <c r="V19" s="29" t="str">
        <f>IF(AND(D19=4,E19=5),$E$28,IF(AND(D19=4,E19=10),$F$28,IF(AND(D19=4,E19=20),$G$28," ")))</f>
        <v xml:space="preserve"> </v>
      </c>
      <c r="W19" s="29" t="str">
        <f>IF(AND(D19=5,E19=5),$E$29,IF(AND(D19=5,E19=10),$F$29,IF(AND(D19=5,E19=20),$G$29," ")))</f>
        <v xml:space="preserve"> </v>
      </c>
      <c r="Z19" s="29" t="str">
        <f>IF(AND(H19&gt;0,'[10]EvaluaciónRiesgoCorrup  (3)'!$F$11&gt;75,D19=1,E19=5),$E$25,IF(AND(H19&gt;0,'[10]EvaluaciónRiesgoCorrup  (3)'!$F$11&gt;75,D19=1,E19=10),$F$25,IF(AND(H19&gt;0,'[10]EvaluaciónRiesgoCorrup  (3)'!$F$11&gt;75,D19=1,E19=20),$G$25," ")))</f>
        <v xml:space="preserve"> </v>
      </c>
      <c r="AA19" s="29" t="str">
        <f>IF(AND(H19&gt;0,'[10]EvaluaciónRiesgoCorrup  (3)'!$F$11&gt;75,D19=2,E19=5),$E$25,IF(AND(H19&gt;0,'[10]EvaluaciónRiesgoCorrup  (3)'!$F$11&gt;75,D19=2,E19=10),$F$25,IF(AND(H19&gt;0,'[10]EvaluaciónRiesgoCorrup  (3)'!$F$11&gt;75,D19=2,E19=20),$G$25," ")))</f>
        <v xml:space="preserve"> </v>
      </c>
      <c r="AB19" s="29" t="str">
        <f>IF(AND(H19&gt;0,'[10]EvaluaciónRiesgoCorrup  (3)'!$F$11&gt;75,D19=3,E19=5),$E$25,IF(AND(H19&gt;0,'[10]EvaluaciónRiesgoCorrup  (3)'!$F$11&gt;75,D19=3,E19=10),$F$25,IF(AND(H19&gt;0,'[10]EvaluaciónRiesgoCorrup  (3)'!$F$11&gt;75,D19=3,E19=20),$G$25," ")))</f>
        <v xml:space="preserve"> </v>
      </c>
      <c r="AC19" s="29" t="str">
        <f>IF(AND(H19&gt;0,'[10]EvaluaciónRiesgoCorrup  (3)'!$F$11&gt;75,D19=4,E19=5),$E$26,IF(AND(H19&gt;0,'[10]EvaluaciónRiesgoCorrup  (3)'!$F$11&gt;75,D19=4,E19=10),$F$26,IF(AND(H19&gt;0,'[10]EvaluaciónRiesgoCorrup  (3)'!$F$11&gt;75,D19=4,E19=20),$G$26," ")))</f>
        <v xml:space="preserve"> </v>
      </c>
      <c r="AD19" s="29" t="str">
        <f>IF(AND(H19&gt;0,'[10]EvaluaciónRiesgoCorrup  (3)'!$F$11&gt;75,D19=5,E19=5),$E$27,IF(AND(H19&gt;0,'[10]EvaluaciónRiesgoCorrup  (3)'!$F$11&gt;75,D19=5,E19=10),$F$27,IF(AND(H19&gt;0,'[10]EvaluaciónRiesgoCorrup  (3)'!$F$11&gt;75,D19=5,E19=20),$G$27," ")))</f>
        <v xml:space="preserve"> </v>
      </c>
      <c r="AF19" s="29" t="str">
        <f>IF(AND(H19&gt;0,'[10]EvaluaciónRiesgoCorrup  (3)'!$F$11&gt;50,'[10]EvaluaciónRiesgoCorrup  (3)'!$F$11&lt;76,D19=1,E19=5),$E$25,IF(AND(H19&gt;0,'[10]EvaluaciónRiesgoCorrup  (3)'!$F$11&gt;50,'[10]EvaluaciónRiesgoCorrup  (3)'!$F$11&lt;76,D19=1,E19=10),$F$25,IF(AND(H19&gt;0,'[10]EvaluaciónRiesgoCorrup  (3)'!$F$11&gt;50,'[10]EvaluaciónRiesgoCorrup  (3)'!$F$11&lt;76,D19=1,E19=20),$G$25," ")))</f>
        <v xml:space="preserve"> </v>
      </c>
      <c r="AG19" s="29" t="str">
        <f>IF(AND(H19&gt;0,'[10]EvaluaciónRiesgoCorrup  (3)'!$F$11&gt;50,'[10]EvaluaciónRiesgoCorrup  (3)'!$F$11&lt;76,D19=2,E19=5),$E$25,IF(AND(H19&gt;0,'[10]EvaluaciónRiesgoCorrup  (3)'!$F$11&gt;50,'[10]EvaluaciónRiesgoCorrup  (3)'!$F$11&lt;76,D19=2,E19=10),$F$25,IF(AND(H19&gt;0,'[10]EvaluaciónRiesgoCorrup  (3)'!$F$11&gt;50,'[10]EvaluaciónRiesgoCorrup  (3)'!$F$11&lt;76,D19=2,E19=20),$G$25," ")))</f>
        <v xml:space="preserve"> </v>
      </c>
      <c r="AH19" s="29" t="str">
        <f>IF(AND(H19&gt;0,'[10]EvaluaciónRiesgoCorrup  (3)'!$F$11&gt;50,'[10]EvaluaciónRiesgoCorrup  (3)'!$F$11&lt;76,D19=3,E19=5),$E$26,IF(AND(H19&gt;0,'[10]EvaluaciónRiesgoCorrup  (3)'!$F$11&gt;50,'[10]EvaluaciónRiesgoCorrup  (3)'!$F$11&lt;76,D19=3,E19=10),$F$26,IF(AND(H19&gt;0,'[10]EvaluaciónRiesgoCorrup  (3)'!$F$11&gt;50,'[10]EvaluaciónRiesgoCorrup  (3)'!$F$11&lt;76,D19=3,E19=20),$G$26," ")))</f>
        <v xml:space="preserve"> </v>
      </c>
      <c r="AI19" s="29" t="str">
        <f>IF(AND(H19&gt;0,'[10]EvaluaciónRiesgoCorrup  (3)'!$F$11&gt;50,'[10]EvaluaciónRiesgoCorrup  (3)'!$F$11&lt;76,D19=4,E19=5),$E$27,IF(AND(H19&gt;0,'[10]EvaluaciónRiesgoCorrup  (3)'!$F$11&gt;50,'[10]EvaluaciónRiesgoCorrup  (3)'!$F$11&lt;76,D19=4,E19=10),$F$27,IF(AND(H19&gt;0,'[10]EvaluaciónRiesgoCorrup  (3)'!$F$11&gt;50,'[10]EvaluaciónRiesgoCorrup  (3)'!$F$11&lt;76,D19=4,E19=20),$G$27," ")))</f>
        <v xml:space="preserve"> </v>
      </c>
      <c r="AJ19" s="29" t="str">
        <f>IF(AND(H19&gt;0,'[10]EvaluaciónRiesgoCorrup  (3)'!$F$11&gt;50,'[10]EvaluaciónRiesgoCorrup  (3)'!$F$11&lt;76,D19=5,E19=5),$E$28,IF(AND(H19&gt;0,'[10]EvaluaciónRiesgoCorrup  (3)'!$F$11&gt;50,'[10]EvaluaciónRiesgoCorrup  (3)'!$F$11&lt;76,D19=5,E19=10),$F$28,IF(AND(H19&gt;0,'[10]EvaluaciónRiesgoCorrup  (3)'!$F$11&gt;50,'[10]EvaluaciónRiesgoCorrup  (3)'!$F$11&lt;76,D19=5,E19=20),$G$28," ")))</f>
        <v xml:space="preserve"> </v>
      </c>
      <c r="AM19" s="29" t="str">
        <f>IF(AND(H19&gt;0,'[10]EvaluaciónRiesgoCorrup  (3)'!$F$11&lt;51,D19=1,E19=5),$E$25,IF(AND(H19&gt;0,'[10]EvaluaciónRiesgoCorrup  (3)'!$F$11&lt;51,D19=1,E19=10),$F$25,IF(AND(H19&gt;0,'[10]EvaluaciónRiesgoCorrup  (3)'!$F$11&lt;51,D19=1,E19=20),G$25," ")))</f>
        <v xml:space="preserve"> </v>
      </c>
      <c r="AN19" s="29" t="str">
        <f>IF(AND(H19&gt;0,'[10]EvaluaciónRiesgoCorrup  (3)'!$F$11&lt;51,D19=2,E19=5),$E$26,IF(AND(H19&gt;0,'[10]EvaluaciónRiesgoCorrup  (3)'!$F$11&lt;51,D19=2,E19=10),$F$26,IF(AND(H19&gt;0,'[10]EvaluaciónRiesgoCorrup  (3)'!$F$11&lt;51,D19=2,E19=20),G$26," ")))</f>
        <v xml:space="preserve"> </v>
      </c>
      <c r="AO19" s="29" t="str">
        <f>IF(AND(H19&gt;0,'[10]EvaluaciónRiesgoCorrup  (3)'!$F$11&lt;51,D19=3,E19=5),$E$27,IF(AND(H19&gt;0,'[10]EvaluaciónRiesgoCorrup  (3)'!$F$11&lt;51,D19=3,E19=10),$F$27,IF(AND(H19&gt;0,'[10]EvaluaciónRiesgoCorrup  (3)'!$F$11&lt;51,D19=3,E19=20),G$27," ")))</f>
        <v xml:space="preserve"> </v>
      </c>
      <c r="AP19" s="29" t="str">
        <f>IF(AND(H19&gt;0,'[10]EvaluaciónRiesgoCorrup  (3)'!$F$11&lt;51,D19=4,E19=5),$E$28,IF(AND(H19&gt;0,'[10]EvaluaciónRiesgoCorrup  (3)'!$F$11&lt;51,D19=4,E19=10),$F$28,IF(AND(H19&gt;0,'[10]EvaluaciónRiesgoCorrup  (3)'!$F$11&lt;51,D19=4,E19=20),G$28," ")))</f>
        <v xml:space="preserve"> </v>
      </c>
      <c r="AQ19" s="29" t="str">
        <f>IF(AND(H19&gt;0,'[10]EvaluaciónRiesgoCorrup  (3)'!$F$11&lt;51,D19=5,E19=5),$E$29,IF(AND(H19&gt;0,'[10]EvaluaciónRiesgoCorrup  (3)'!$F$11&lt;51,D19=5,E19=10),$F$29,IF(AND(H19&gt;0,'[10]EvaluaciónRiesgoCorrup  (3)'!$F$11&lt;51,D19=5,E19=20),G$29," ")))</f>
        <v xml:space="preserve"> </v>
      </c>
      <c r="AU19" s="29" t="str">
        <f>IF(AND(I19&gt;0,'[10]EvaluaciónRiesgoCorrup  (3)'!$F$11&gt;75,D19=1,E19=5),$E$25,IF(AND(I19&gt;0,'[10]EvaluaciónRiesgoCorrup  (3)'!$F$11&gt;75,D19=1,E19=10),$E$25,IF(AND(I19&gt;0,'[10]EvaluaciónRiesgoCorrup  (3)'!$F$11&gt;75,D19=1,E19=20),$E$25," ")))</f>
        <v xml:space="preserve"> </v>
      </c>
      <c r="AV19" s="29" t="str">
        <f>IF(AND(I19&gt;0,'[10]EvaluaciónRiesgoCorrup  (3)'!$F$11&gt;75,D19=2,E19=5),$E$26,IF(AND(I19&gt;0,'[10]EvaluaciónRiesgoCorrup  (3)'!$F$11&gt;75,D19=2,E19=10),$E$26,IF(AND(I19&gt;0,'[10]EvaluaciónRiesgoCorrup  (3)'!$F$11&gt;75,D19=2,E19=20),$E$26," ")))</f>
        <v xml:space="preserve"> </v>
      </c>
      <c r="AW19" s="29" t="str">
        <f>IF(AND(I19&gt;0,'[10]EvaluaciónRiesgoCorrup  (3)'!$F$11&gt;75,D19=3,E19=5),$E$27,IF(AND(I19&gt;0,'[10]EvaluaciónRiesgoCorrup  (3)'!$F$11&gt;75,D19=3,E19=10),$E$27,IF(AND(I19&gt;0,'[10]EvaluaciónRiesgoCorrup  (3)'!$F$11&gt;75,D19=3,E19=20),$E$27," ")))</f>
        <v xml:space="preserve"> </v>
      </c>
      <c r="AX19" s="29" t="str">
        <f>IF(AND(I19&gt;0,'[10]EvaluaciónRiesgoCorrup  (3)'!$F$11&gt;75,D19=4,E19=5),$E$28,IF(AND(I19&gt;0,'[10]EvaluaciónRiesgoCorrup  (3)'!$F$11&gt;75,D19=4,E19=10),$E$28,IF(AND(I19&gt;0,'[10]EvaluaciónRiesgoCorrup  (3)'!$F$11&gt;75,D19=4,E19=20),$E$28," ")))</f>
        <v xml:space="preserve"> </v>
      </c>
      <c r="AY19" s="29" t="str">
        <f>IF(AND(I19&gt;0,'[10]EvaluaciónRiesgoCorrup  (3)'!$F$11&gt;75,D19=5,E19=5),$E$29,IF(AND(I19&gt;0,'[10]EvaluaciónRiesgoCorrup  (3)'!$F$11&gt;75,D19=5,E19=10),$E$29,IF(AND(I19&gt;0,'[10]EvaluaciónRiesgoCorrup  (3)'!$F$11&gt;75,D19=5,E19=20),$E$29," ")))</f>
        <v xml:space="preserve"> </v>
      </c>
      <c r="BB19" s="29" t="str">
        <f>IF(AND(I19&gt;0,'[10]EvaluaciónRiesgoCorrup  (3)'!$F$11&gt;50,'[10]EvaluaciónRiesgoCorrup  (3)'!$F$11&lt;76,D19=1,E19=5),$E$25,IF(AND(I19&gt;0,'[10]EvaluaciónRiesgoCorrup  (3)'!$F$11&gt;50,'[10]EvaluaciónRiesgoCorrup  (3)'!$F$11&lt;76,D19=1,E19=10),$E$25,IF(AND(I19&gt;0,'[10]EvaluaciónRiesgoCorrup  (3)'!$F$11&gt;50,'[10]EvaluaciónRiesgoCorrup  (3)'!$F$11&lt;76,D19=1,E19=20),$F$25," ")))</f>
        <v>B</v>
      </c>
      <c r="BC19" s="29" t="str">
        <f>IF(AND(I19&gt;0,'[10]EvaluaciónRiesgoCorrup  (3)'!$F$11&gt;50,'[10]EvaluaciónRiesgoCorrup  (3)'!$F$11&lt;76,D19=2,E19=5),$E$26,IF(AND(I19&gt;0,'[10]EvaluaciónRiesgoCorrup  (3)'!$F$11&gt;50,'[10]EvaluaciónRiesgoCorrup  (3)'!$F$11&lt;76,D19=2,E19=10),$E$26,IF(AND(I19&gt;0,'[10]EvaluaciónRiesgoCorrup  (3)'!$F$11&gt;50,'[10]EvaluaciónRiesgoCorrup  (3)'!$F$11&lt;76,D19=2,E19=20),$F$26," ")))</f>
        <v xml:space="preserve"> </v>
      </c>
      <c r="BD19" s="29" t="str">
        <f>IF(AND(I19&gt;0,'[10]EvaluaciónRiesgoCorrup  (3)'!$F$11&gt;50,'[10]EvaluaciónRiesgoCorrup  (3)'!$F$11&lt;76,D19=3,E19=5),$E$27,IF(AND(I19&gt;0,'[10]EvaluaciónRiesgoCorrup  (3)'!$F$11&gt;50,'[10]EvaluaciónRiesgoCorrup  (3)'!$F$11&lt;76,D19=3,E19=10),$E$27,IF(AND(I19&gt;0,'[10]EvaluaciónRiesgoCorrup  (3)'!$F$11&gt;50,'[10]EvaluaciónRiesgoCorrup  (3)'!$F$11&lt;76,D19=3,E19=20),$F$27," ")))</f>
        <v xml:space="preserve"> </v>
      </c>
      <c r="BE19" s="29" t="str">
        <f>IF(AND(I19&gt;0,'[10]EvaluaciónRiesgoCorrup  (3)'!$F$11&gt;50,'[10]EvaluaciónRiesgoCorrup  (3)'!$F$11&lt;76,D19=4,E19=5),$E$28,IF(AND(I19&gt;0,'[10]EvaluaciónRiesgoCorrup  (3)'!$F$11&gt;50,'[10]EvaluaciónRiesgoCorrup  (3)'!$F$11&lt;76,D19=4,E19=10),$E$28,IF(AND(I19&gt;0,'[10]EvaluaciónRiesgoCorrup  (3)'!$F$11&gt;50,'[10]EvaluaciónRiesgoCorrup  (3)'!$F$11&lt;76,D19=4,E19=20),$F$28," ")))</f>
        <v xml:space="preserve"> </v>
      </c>
      <c r="BF19" s="29" t="str">
        <f>IF(AND(I19&gt;0,'[10]EvaluaciónRiesgoCorrup  (3)'!$F$11&gt;50,'[10]EvaluaciónRiesgoCorrup  (3)'!$F$11&lt;76,D19=5,E19=5),$E$29,IF(AND(I19&gt;0,'[10]EvaluaciónRiesgoCorrup  (3)'!$F$11&gt;50,'[10]EvaluaciónRiesgoCorrup  (3)'!$F$11&lt;76,D19=5,E19=10),$E$29,IF(AND(I19&gt;0,'[10]EvaluaciónRiesgoCorrup  (3)'!$F$11&gt;50,'[10]EvaluaciónRiesgoCorrup  (3)'!$F$11&lt;76,D19=5,E19=20),$F$29," ")))</f>
        <v xml:space="preserve"> </v>
      </c>
      <c r="BI19" s="29" t="str">
        <f>IF(AND(I19&gt;0,'[10]EvaluaciónRiesgoCorrup  (3)'!$F$11&lt;51,D19=1,E19=5),$E$25,IF(AND(I19&gt;0,'[10]EvaluaciónRiesgoCorrup  (3)'!$F$11&lt;51,D19=1,E19=10),$F$25,IF(AND(I19&gt;0,'[10]EvaluaciónRiesgoCorrup  (3)'!$F$11&lt;51,D19=1,E19=20),$G$25," ")))</f>
        <v xml:space="preserve"> </v>
      </c>
      <c r="BJ19" s="29" t="str">
        <f>IF(AND(I19&gt;0,'[10]EvaluaciónRiesgoCorrup  (3)'!$F$11&lt;51,D19=2,E19=5),$E$26,IF(AND(I19&gt;0,'[10]EvaluaciónRiesgoCorrup  (3)'!$F$11&lt;51,D19=2,E19=10),$F$26,IF(AND(I19&gt;0,'[10]EvaluaciónRiesgoCorrup  (3)'!$F$11&lt;51,D19=2,E19=20),$G$26," ")))</f>
        <v xml:space="preserve"> </v>
      </c>
      <c r="BK19" s="29" t="str">
        <f>IF(AND(I19&gt;0,'[10]EvaluaciónRiesgoCorrup  (3)'!$F$11&lt;51,D19=3,E19=5),$E$27,IF(AND(I19&gt;0,'[10]EvaluaciónRiesgoCorrup  (3)'!$F$11&lt;51,D19=3,E19=10),$F$27,IF(AND(I19&gt;0,'[10]EvaluaciónRiesgoCorrup  (3)'!$F$11&lt;51,D19=3,E19=20),$G$27," ")))</f>
        <v xml:space="preserve"> </v>
      </c>
      <c r="BL19" s="29" t="str">
        <f>IF(AND(I19&gt;0,'[10]EvaluaciónRiesgoCorrup  (3)'!$F$11&lt;51,D19=4,E19=5),$E$28,IF(AND(I19&gt;0,'[10]EvaluaciónRiesgoCorrup  (3)'!$F$11&lt;51,D19=4,E19=10),$F$28,IF(AND(I19&gt;0,'[10]EvaluaciónRiesgoCorrup  (3)'!$F$11&lt;51,D19=4,E19=20),$G$28," ")))</f>
        <v xml:space="preserve"> </v>
      </c>
      <c r="BM19" s="29" t="str">
        <f>IF(AND(I19&gt;0,'[10]EvaluaciónRiesgoCorrup  (3)'!$F$11&lt;51,D19=5,E19=5),$E$29,IF(AND(I19&gt;0,'[10]EvaluaciónRiesgoCorrup  (3)'!$F$11&lt;51,D19=5,E19=10),$F$29,IF(AND(I19&gt;0,'[10]EvaluaciónRiesgoCorrup  (3)'!$F$11&lt;51,D19=5,E19=20),$G$29," ")))</f>
        <v xml:space="preserve"> </v>
      </c>
    </row>
    <row r="20" spans="1:65" ht="121.5" customHeight="1" x14ac:dyDescent="0.25">
      <c r="A20" s="22" t="str">
        <f>[10]IdentRiesgo!A9</f>
        <v>Inadecuada revisión de los soportes presentados para el trámite de la comision y /o ofrecimiento de prevendas al encargado del tramite de la comision.</v>
      </c>
      <c r="B20" s="22" t="str">
        <f>[10]IdentRiesgo!B9</f>
        <v>Favorecimiento a funcionarios y/o contratistas con la consecución de recursos no debidos.</v>
      </c>
      <c r="C20" s="22" t="str">
        <f>[10]IdentRiesgo!D9</f>
        <v>Corrupción de Funcionario y/o contratista del grupo de contabilidad y sanciones disciplinarias por parte de los entes de control</v>
      </c>
      <c r="D20" s="23">
        <f>IF([10]AnálisisRiesgo!B12&gt;0,5,IF([10]AnálisisRiesgo!C12&gt;0,4,IF([10]AnálisisRiesgo!D12&gt;0,3,IF([10]AnálisisRiesgo!E12&gt;0,2,IF([10]AnálisisRiesgo!F12&gt;0,1,"")))))</f>
        <v>1</v>
      </c>
      <c r="E20" s="23">
        <f>IF([10]AnálisisRiesgo!G12&gt;0,5,IF([10]AnálisisRiesgo!H12&gt;0,4,IF([10]AnálisisRiesgo!I12&gt;0,3,IF([10]AnálisisRiesgo!J12&gt;0,2,IF([10]AnálisisRiesgo!K12&gt;0,1,IF([10]AnálisisRiesgo!L12&gt;0,20,IF([10]AnálisisRiesgo!M12&gt;0,10,IF([10]AnálisisRiesgo!N12&gt;0,5,""))))))))</f>
        <v>10</v>
      </c>
      <c r="F20" s="23" t="str">
        <f t="shared" si="0"/>
        <v xml:space="preserve">B    </v>
      </c>
      <c r="G20" s="22" t="s">
        <v>74</v>
      </c>
      <c r="H20" s="25"/>
      <c r="I20" s="26" t="s">
        <v>32</v>
      </c>
      <c r="J20" s="23" t="str">
        <f t="shared" si="1"/>
        <v xml:space="preserve">               B              </v>
      </c>
      <c r="K20" s="23" t="s">
        <v>66</v>
      </c>
      <c r="L20" s="23" t="s">
        <v>70</v>
      </c>
      <c r="M20" s="23" t="s">
        <v>71</v>
      </c>
      <c r="N20" s="48"/>
      <c r="O20" s="29"/>
      <c r="P20" s="29"/>
      <c r="Q20" s="29"/>
      <c r="S20" s="29" t="str">
        <f>IF(AND(D20=1,E20=5),$E$25,IF(AND(D20=1,E20=10),$F$25,IF(AND(D20=1,E20=20),$G$25," ")))</f>
        <v>B</v>
      </c>
      <c r="T20" s="29" t="str">
        <f>IF(AND(D20=2,E20=5),$E$26,IF(AND(D20=2,E20=10),$F$26,IF(AND(D20=2,E20=20),$G$26," ")))</f>
        <v xml:space="preserve"> </v>
      </c>
      <c r="U20" s="29" t="str">
        <f>IF(AND(D20=3,E20=5),$E$27,IF(AND(D20=3,E20=10),$F$27,IF(AND(D20=3,E20=20),$G$27," ")))</f>
        <v xml:space="preserve"> </v>
      </c>
      <c r="V20" s="29" t="str">
        <f>IF(AND(D20=4,E20=5),$E$28,IF(AND(D20=4,E20=10),$F$28,IF(AND(D20=4,E20=20),$G$28," ")))</f>
        <v xml:space="preserve"> </v>
      </c>
      <c r="W20" s="29" t="str">
        <f>IF(AND(D20=5,E20=5),$E$29,IF(AND(D20=5,E20=10),$F$29,IF(AND(D20=5,E20=20),$G$29," ")))</f>
        <v xml:space="preserve"> </v>
      </c>
      <c r="Z20" s="29" t="str">
        <f>IF(AND(H20&gt;0,'[10]EvaluaciónRiesgoCorrup  (4)'!$F$11&gt;75,D20=1,E20=5),$E$25,IF(AND(H20&gt;0,'[10]EvaluaciónRiesgoCorrup  (4)'!$F$11&gt;75,D20=1,E20=10),$F$25,IF(AND(H20&gt;0,'[10]EvaluaciónRiesgoCorrup  (4)'!$F$11&gt;75,D20=1,E20=20),$G$25," ")))</f>
        <v xml:space="preserve"> </v>
      </c>
      <c r="AA20" s="29" t="str">
        <f>IF(AND(H20&gt;0,'[10]EvaluaciónRiesgoCorrup  (4)'!$F$11&gt;75,D20=2,E20=5),$E$25,IF(AND(H20&gt;0,'[10]EvaluaciónRiesgoCorrup  (4)'!$F$11&gt;75,D20=2,E20=10),$F$25,IF(AND(H20&gt;0,'[10]EvaluaciónRiesgoCorrup  (4)'!$F$11&gt;75,D20=2,E20=20),$G$25," ")))</f>
        <v xml:space="preserve"> </v>
      </c>
      <c r="AB20" s="29" t="str">
        <f>IF(AND(H20&gt;0,'[10]EvaluaciónRiesgoCorrup  (4)'!$F$11&gt;75,D20=3,E20=5),$E$25,IF(AND(H20&gt;0,'[10]EvaluaciónRiesgoCorrup  (4)'!$F$11&gt;75,D20=3,E20=10),$F$25,IF(AND(H20&gt;0,'[10]EvaluaciónRiesgoCorrup  (4)'!$F$11&gt;75,D20=3,E20=20),$G$25," ")))</f>
        <v xml:space="preserve"> </v>
      </c>
      <c r="AC20" s="29" t="str">
        <f>IF(AND(H20&gt;0,'[10]EvaluaciónRiesgoCorrup  (4)'!$F$11&gt;75,D20=4,E20=5),$E$26,IF(AND(H20&gt;0,'[10]EvaluaciónRiesgoCorrup  (4)'!$F$11&gt;75,D20=4,E20=10),$F$26,IF(AND(H20&gt;0,'[10]EvaluaciónRiesgoCorrup  (4)'!$F$11&gt;75,D20=4,E20=20),$G$26," ")))</f>
        <v xml:space="preserve"> </v>
      </c>
      <c r="AD20" s="29" t="str">
        <f>IF(AND(H20&gt;0,'[10]EvaluaciónRiesgoCorrup  (4)'!$F$11&gt;75,D20=5,E20=5),$E$27,IF(AND(H20&gt;0,'[10]EvaluaciónRiesgoCorrup  (4)'!$F$11&gt;75,D20=5,E20=10),$F$27,IF(AND(H20&gt;0,'[10]EvaluaciónRiesgoCorrup  (4)'!$F$11&gt;75,D20=5,E20=20),$G$27," ")))</f>
        <v xml:space="preserve"> </v>
      </c>
      <c r="AF20" s="29" t="str">
        <f>IF(AND(H20&gt;0,'[10]EvaluaciónRiesgoCorrup  (4)'!$F$11&gt;50,'[10]EvaluaciónRiesgoCorrup  (4)'!$F$11&lt;76,D20=1,E20=5),$E$25,IF(AND(H20&gt;0,'[10]EvaluaciónRiesgoCorrup  (4)'!$F$11&gt;50,'[10]EvaluaciónRiesgoCorrup  (4)'!$F$11&lt;76,D20=1,E20=10),$F$25,IF(AND(H20&gt;0,'[10]EvaluaciónRiesgoCorrup  (4)'!$F$11&gt;50,'[10]EvaluaciónRiesgoCorrup  (4)'!$F$11&lt;76,D20=1,E20=20),$G$25," ")))</f>
        <v xml:space="preserve"> </v>
      </c>
      <c r="AG20" s="29" t="str">
        <f>IF(AND(H20&gt;0,'[10]EvaluaciónRiesgoCorrup  (4)'!$F$11&gt;50,'[10]EvaluaciónRiesgoCorrup  (4)'!$F$11&lt;76,D20=2,E20=5),$E$25,IF(AND(H20&gt;0,'[10]EvaluaciónRiesgoCorrup  (4)'!$F$11&gt;50,'[10]EvaluaciónRiesgoCorrup  (4)'!$F$11&lt;76,D20=2,E20=10),$F$25,IF(AND(H20&gt;0,'[10]EvaluaciónRiesgoCorrup  (4)'!$F$11&gt;50,'[10]EvaluaciónRiesgoCorrup  (4)'!$F$11&lt;76,D20=2,E20=20),$G$25," ")))</f>
        <v xml:space="preserve"> </v>
      </c>
      <c r="AH20" s="29" t="str">
        <f>IF(AND(H20&gt;0,'[10]EvaluaciónRiesgoCorrup  (4)'!$F$11&gt;50,'[10]EvaluaciónRiesgoCorrup  (4)'!$F$11&lt;76,D20=3,E20=5),$E$26,IF(AND(H20&gt;0,'[10]EvaluaciónRiesgoCorrup  (4)'!$F$11&gt;50,'[10]EvaluaciónRiesgoCorrup  (4)'!$F$11&lt;76,D20=3,E20=10),$F$26,IF(AND(H20&gt;0,'[10]EvaluaciónRiesgoCorrup  (4)'!$F$11&gt;50,'[10]EvaluaciónRiesgoCorrup  (4)'!$F$11&lt;76,D20=3,E20=20),$G$26," ")))</f>
        <v xml:space="preserve"> </v>
      </c>
      <c r="AI20" s="29" t="str">
        <f>IF(AND(H20&gt;0,'[10]EvaluaciónRiesgoCorrup  (4)'!$F$11&gt;50,'[10]EvaluaciónRiesgoCorrup  (4)'!$F$11&lt;76,D20=4,E20=5),$E$27,IF(AND(H20&gt;0,'[10]EvaluaciónRiesgoCorrup  (4)'!$F$11&gt;50,'[10]EvaluaciónRiesgoCorrup  (4)'!$F$11&lt;76,D20=4,E20=10),$F$27,IF(AND(H20&gt;0,'[10]EvaluaciónRiesgoCorrup  (4)'!$F$11&gt;50,'[10]EvaluaciónRiesgoCorrup  (4)'!$F$11&lt;76,D20=4,E20=20),$G$27," ")))</f>
        <v xml:space="preserve"> </v>
      </c>
      <c r="AJ20" s="29" t="str">
        <f>IF(AND(H20&gt;0,'[10]EvaluaciónRiesgoCorrup  (4)'!$F$11&gt;50,'[10]EvaluaciónRiesgoCorrup  (4)'!$F$11&lt;76,D20=5,E20=5),$E$28,IF(AND(H20&gt;0,'[10]EvaluaciónRiesgoCorrup  (4)'!$F$11&gt;50,'[10]EvaluaciónRiesgoCorrup  (4)'!$F$11&lt;76,D20=5,E20=10),$F$28,IF(AND(H20&gt;0,'[10]EvaluaciónRiesgoCorrup  (4)'!$F$11&gt;50,'[10]EvaluaciónRiesgoCorrup  (4)'!$F$11&lt;76,D20=5,E20=20),$G$28," ")))</f>
        <v xml:space="preserve"> </v>
      </c>
      <c r="AM20" s="29" t="str">
        <f>IF(AND(H20&gt;0,'[10]EvaluaciónRiesgoCorrup  (4)'!$F$11&lt;51,D20=1,E20=5),$E$25,IF(AND(H20&gt;0,'[10]EvaluaciónRiesgoCorrup  (4)'!$F$11&lt;51,D20=1,E20=10),$F$25,IF(AND(H20&gt;0,'[10]EvaluaciónRiesgoCorrup  (4)'!$F$11&lt;51,D20=1,E20=20),G$25," ")))</f>
        <v xml:space="preserve"> </v>
      </c>
      <c r="AN20" s="29" t="str">
        <f>IF(AND(H20&gt;0,'[10]EvaluaciónRiesgoCorrup  (4)'!$F$11&lt;51,D20=2,E20=5),$E$26,IF(AND(H20&gt;0,'[10]EvaluaciónRiesgoCorrup  (4)'!$F$11&lt;51,D20=2,E20=10),$F$26,IF(AND(H20&gt;0,'[10]EvaluaciónRiesgoCorrup  (4)'!$F$11&lt;51,D20=2,E20=20),G$26," ")))</f>
        <v xml:space="preserve"> </v>
      </c>
      <c r="AO20" s="29" t="str">
        <f>IF(AND(H20&gt;0,'[10]EvaluaciónRiesgoCorrup  (4)'!$F$11&lt;51,D20=3,E20=5),$E$27,IF(AND(H20&gt;0,'[10]EvaluaciónRiesgoCorrup  (4)'!$F$11&lt;51,D20=3,E20=10),$F$27,IF(AND(H20&gt;0,'[10]EvaluaciónRiesgoCorrup  (4)'!$F$11&lt;51,D20=3,E20=20),G$27," ")))</f>
        <v xml:space="preserve"> </v>
      </c>
      <c r="AP20" s="29" t="str">
        <f>IF(AND(H20&gt;0,'[10]EvaluaciónRiesgoCorrup  (4)'!$F$11&lt;51,D20=4,E20=5),$E$28,IF(AND(H20&gt;0,'[10]EvaluaciónRiesgoCorrup  (4)'!$F$11&lt;51,D20=4,E20=10),$F$28,IF(AND(H20&gt;0,'[10]EvaluaciónRiesgoCorrup  (4)'!$F$11&lt;51,D20=4,E20=20),G$28," ")))</f>
        <v xml:space="preserve"> </v>
      </c>
      <c r="AQ20" s="29" t="str">
        <f>IF(AND(H20&gt;0,'[10]EvaluaciónRiesgoCorrup  (4)'!$F$11&lt;51,D20=5,E20=5),$E$29,IF(AND(H20&gt;0,'[10]EvaluaciónRiesgoCorrup  (4)'!$F$11&lt;51,D20=5,E20=10),$F$29,IF(AND(H20&gt;0,'[10]EvaluaciónRiesgoCorrup  (4)'!$F$11&lt;51,D20=5,E20=20),G$29," ")))</f>
        <v xml:space="preserve"> </v>
      </c>
      <c r="AU20" s="29" t="str">
        <f>IF(AND(I20&gt;0,'[10]EvaluaciónRiesgoCorrup  (4)'!$F$11&gt;75,D20=1,E20=5),$E$25,IF(AND(I20&gt;0,'[10]EvaluaciónRiesgoCorrup  (4)'!$F$11&gt;75,D20=1,E20=10),$E$25,IF(AND(I20&gt;0,'[10]EvaluaciónRiesgoCorrup  (4)'!$F$11&gt;75,D20=1,E20=20),$E$25," ")))</f>
        <v>B</v>
      </c>
      <c r="AV20" s="29" t="str">
        <f>IF(AND(I20&gt;0,'[10]EvaluaciónRiesgoCorrup  (4)'!$F$11&gt;75,D20=2,E20=5),$E$26,IF(AND(I20&gt;0,'[10]EvaluaciónRiesgoCorrup  (4)'!$F$11&gt;75,D20=2,E20=10),$E$26,IF(AND(I20&gt;0,'[10]EvaluaciónRiesgoCorrup  (4)'!$F$11&gt;75,D20=2,E20=20),$E$26," ")))</f>
        <v xml:space="preserve"> </v>
      </c>
      <c r="AW20" s="29" t="str">
        <f>IF(AND(I20&gt;0,'[10]EvaluaciónRiesgoCorrup  (4)'!$F$11&gt;75,D20=3,E20=5),$E$27,IF(AND(I20&gt;0,'[10]EvaluaciónRiesgoCorrup  (4)'!$F$11&gt;75,D20=3,E20=10),$E$27,IF(AND(I20&gt;0,'[10]EvaluaciónRiesgoCorrup  (4)'!$F$11&gt;75,D20=3,E20=20),$E$27," ")))</f>
        <v xml:space="preserve"> </v>
      </c>
      <c r="AX20" s="29" t="str">
        <f>IF(AND(I20&gt;0,'[10]EvaluaciónRiesgoCorrup  (4)'!$F$11&gt;75,D20=4,E20=5),$E$28,IF(AND(I20&gt;0,'[10]EvaluaciónRiesgoCorrup  (4)'!$F$11&gt;75,D20=4,E20=10),$E$28,IF(AND(I20&gt;0,'[10]EvaluaciónRiesgoCorrup  (4)'!$F$11&gt;75,D20=4,E20=20),$E$28," ")))</f>
        <v xml:space="preserve"> </v>
      </c>
      <c r="AY20" s="29" t="str">
        <f>IF(AND(I20&gt;0,'[10]EvaluaciónRiesgoCorrup  (4)'!$F$11&gt;75,D20=5,E20=5),$E$29,IF(AND(I20&gt;0,'[10]EvaluaciónRiesgoCorrup  (4)'!$F$11&gt;75,D20=5,E20=10),$E$29,IF(AND(I20&gt;0,'[10]EvaluaciónRiesgoCorrup  (4)'!$F$11&gt;75,D20=5,E20=20),$E$29," ")))</f>
        <v xml:space="preserve"> </v>
      </c>
      <c r="BB20" s="29" t="str">
        <f>IF(AND(I20&gt;0,'[10]EvaluaciónRiesgoCorrup  (4)'!$F$11&gt;50,'[10]EvaluaciónRiesgoCorrup  (4)'!$F$11&lt;76,D20=1,E20=5),$E$25,IF(AND(I20&gt;0,'[10]EvaluaciónRiesgoCorrup  (4)'!$F$11&gt;50,'[10]EvaluaciónRiesgoCorrup  (4)'!$F$11&lt;76,D20=1,E20=10),$E$25,IF(AND(I20&gt;0,'[10]EvaluaciónRiesgoCorrup  (4)'!$F$11&gt;50,'[10]EvaluaciónRiesgoCorrup  (4)'!$F$11&lt;76,D20=1,E20=20),$F$25," ")))</f>
        <v xml:space="preserve"> </v>
      </c>
      <c r="BC20" s="29" t="str">
        <f>IF(AND(I20&gt;0,'[10]EvaluaciónRiesgoCorrup  (4)'!$F$11&gt;50,'[10]EvaluaciónRiesgoCorrup  (4)'!$F$11&lt;76,D20=2,E20=5),$E$26,IF(AND(I20&gt;0,'[10]EvaluaciónRiesgoCorrup  (4)'!$F$11&gt;50,'[10]EvaluaciónRiesgoCorrup  (4)'!$F$11&lt;76,D20=2,E20=10),$E$26,IF(AND(I20&gt;0,'[10]EvaluaciónRiesgoCorrup  (4)'!$F$11&gt;50,'[10]EvaluaciónRiesgoCorrup  (4)'!$F$11&lt;76,D20=2,E20=20),$F$26," ")))</f>
        <v xml:space="preserve"> </v>
      </c>
      <c r="BD20" s="29" t="str">
        <f>IF(AND(I20&gt;0,'[10]EvaluaciónRiesgoCorrup  (4)'!$F$11&gt;50,'[10]EvaluaciónRiesgoCorrup  (4)'!$F$11&lt;76,D20=3,E20=5),$E$27,IF(AND(I20&gt;0,'[10]EvaluaciónRiesgoCorrup  (4)'!$F$11&gt;50,'[10]EvaluaciónRiesgoCorrup  (4)'!$F$11&lt;76,D20=3,E20=10),$E$27,IF(AND(I20&gt;0,'[10]EvaluaciónRiesgoCorrup  (4)'!$F$11&gt;50,'[10]EvaluaciónRiesgoCorrup  (4)'!$F$11&lt;76,D20=3,E20=20),$F$27," ")))</f>
        <v xml:space="preserve"> </v>
      </c>
      <c r="BE20" s="29" t="str">
        <f>IF(AND(I20&gt;0,'[10]EvaluaciónRiesgoCorrup  (4)'!$F$11&gt;50,'[10]EvaluaciónRiesgoCorrup  (4)'!$F$11&lt;76,D20=4,E20=5),$E$28,IF(AND(I20&gt;0,'[10]EvaluaciónRiesgoCorrup  (4)'!$F$11&gt;50,'[10]EvaluaciónRiesgoCorrup  (4)'!$F$11&lt;76,D20=4,E20=10),$E$28,IF(AND(I20&gt;0,'[10]EvaluaciónRiesgoCorrup  (4)'!$F$11&gt;50,'[10]EvaluaciónRiesgoCorrup  (4)'!$F$11&lt;76,D20=4,E20=20),$F$28," ")))</f>
        <v xml:space="preserve"> </v>
      </c>
      <c r="BF20" s="29" t="str">
        <f>IF(AND(I20&gt;0,'[10]EvaluaciónRiesgoCorrup  (4)'!$F$11&gt;50,'[10]EvaluaciónRiesgoCorrup  (4)'!$F$11&lt;76,D20=5,E20=5),$E$29,IF(AND(I20&gt;0,'[10]EvaluaciónRiesgoCorrup  (4)'!$F$11&gt;50,'[10]EvaluaciónRiesgoCorrup  (4)'!$F$11&lt;76,D20=5,E20=10),$E$29,IF(AND(I20&gt;0,'[10]EvaluaciónRiesgoCorrup  (4)'!$F$11&gt;50,'[10]EvaluaciónRiesgoCorrup  (4)'!$F$11&lt;76,D20=5,E20=20),$F$29," ")))</f>
        <v xml:space="preserve"> </v>
      </c>
      <c r="BI20" s="29" t="str">
        <f>IF(AND(I20&gt;0,'[10]EvaluaciónRiesgoCorrup  (4)'!$F$11&lt;51,D20=1,E20=5),$E$25,IF(AND(I20&gt;0,'[10]EvaluaciónRiesgoCorrup  (4)'!$F$11&lt;51,D20=1,E20=10),$F$25,IF(AND(I20&gt;0,'[10]EvaluaciónRiesgoCorrup  (4)'!$F$11&lt;51,D20=1,E20=20),$G$25," ")))</f>
        <v xml:space="preserve"> </v>
      </c>
      <c r="BJ20" s="29" t="str">
        <f>IF(AND(I20&gt;0,'[10]EvaluaciónRiesgoCorrup  (4)'!$F$11&lt;51,D20=2,E20=5),$E$26,IF(AND(I20&gt;0,'[10]EvaluaciónRiesgoCorrup  (4)'!$F$11&lt;51,D20=2,E20=10),$F$26,IF(AND(I20&gt;0,'[10]EvaluaciónRiesgoCorrup  (4)'!$F$11&lt;51,D20=2,E20=20),$G$26," ")))</f>
        <v xml:space="preserve"> </v>
      </c>
      <c r="BK20" s="29" t="str">
        <f>IF(AND(I20&gt;0,'[10]EvaluaciónRiesgoCorrup  (4)'!$F$11&lt;51,D20=3,E20=5),$E$27,IF(AND(I20&gt;0,'[10]EvaluaciónRiesgoCorrup  (4)'!$F$11&lt;51,D20=3,E20=10),$F$27,IF(AND(I20&gt;0,'[10]EvaluaciónRiesgoCorrup  (4)'!$F$11&lt;51,D20=3,E20=20),$G$27," ")))</f>
        <v xml:space="preserve"> </v>
      </c>
      <c r="BL20" s="29" t="str">
        <f>IF(AND(I20&gt;0,'[10]EvaluaciónRiesgoCorrup  (4)'!$F$11&lt;51,D20=4,E20=5),$E$28,IF(AND(I20&gt;0,'[10]EvaluaciónRiesgoCorrup  (4)'!$F$11&lt;51,D20=4,E20=10),$F$28,IF(AND(I20&gt;0,'[10]EvaluaciónRiesgoCorrup  (4)'!$F$11&lt;51,D20=4,E20=20),$G$28," ")))</f>
        <v xml:space="preserve"> </v>
      </c>
      <c r="BM20" s="29" t="str">
        <f>IF(AND(I20&gt;0,'[10]EvaluaciónRiesgoCorrup  (4)'!$F$11&lt;51,D20=5,E20=5),$E$29,IF(AND(I20&gt;0,'[10]EvaluaciónRiesgoCorrup  (4)'!$F$11&lt;51,D20=5,E20=10),$F$29,IF(AND(I20&gt;0,'[10]EvaluaciónRiesgoCorrup  (4)'!$F$11&lt;51,D20=5,E20=20),$G$29," ")))</f>
        <v xml:space="preserve"> </v>
      </c>
    </row>
    <row r="21" spans="1:65" x14ac:dyDescent="0.25">
      <c r="A21" s="29"/>
      <c r="B21" s="31"/>
      <c r="C21" s="31"/>
    </row>
    <row r="22" spans="1:65" ht="15" thickBot="1" x14ac:dyDescent="0.3">
      <c r="A22" s="29"/>
      <c r="B22" s="31"/>
      <c r="C22" s="31"/>
      <c r="E22" s="33"/>
      <c r="F22" s="33"/>
    </row>
    <row r="23" spans="1:65" ht="15.75" thickBot="1" x14ac:dyDescent="0.3">
      <c r="A23" s="6"/>
      <c r="B23" s="34"/>
      <c r="C23" s="34"/>
      <c r="D23" s="114" t="s">
        <v>28</v>
      </c>
      <c r="E23" s="116" t="s">
        <v>12</v>
      </c>
      <c r="F23" s="116"/>
      <c r="G23" s="117"/>
      <c r="H23" s="2"/>
      <c r="L23" s="5"/>
      <c r="N23" s="2"/>
    </row>
    <row r="24" spans="1:65" ht="32.25" customHeight="1" thickBot="1" x14ac:dyDescent="0.3">
      <c r="A24" s="5"/>
      <c r="B24" s="35" t="s">
        <v>46</v>
      </c>
      <c r="C24" s="35"/>
      <c r="D24" s="115"/>
      <c r="E24" s="36" t="s">
        <v>47</v>
      </c>
      <c r="F24" s="37" t="s">
        <v>48</v>
      </c>
      <c r="G24" s="36" t="s">
        <v>49</v>
      </c>
      <c r="H24" s="2"/>
      <c r="L24" s="5"/>
      <c r="N24" s="2"/>
    </row>
    <row r="25" spans="1:65" ht="15.75" thickBot="1" x14ac:dyDescent="0.3">
      <c r="B25" s="5" t="s">
        <v>50</v>
      </c>
      <c r="D25" s="38" t="s">
        <v>51</v>
      </c>
      <c r="E25" s="39" t="s">
        <v>52</v>
      </c>
      <c r="F25" s="39" t="s">
        <v>52</v>
      </c>
      <c r="G25" s="40" t="s">
        <v>53</v>
      </c>
      <c r="H25" s="2"/>
      <c r="L25" s="5"/>
      <c r="N25" s="2"/>
    </row>
    <row r="26" spans="1:65" ht="15.75" thickBot="1" x14ac:dyDescent="0.3">
      <c r="D26" s="38" t="s">
        <v>54</v>
      </c>
      <c r="E26" s="39" t="s">
        <v>52</v>
      </c>
      <c r="F26" s="40" t="s">
        <v>53</v>
      </c>
      <c r="G26" s="41" t="s">
        <v>55</v>
      </c>
      <c r="H26" s="2"/>
      <c r="L26" s="5"/>
      <c r="N26" s="2"/>
    </row>
    <row r="27" spans="1:65" ht="15.75" thickBot="1" x14ac:dyDescent="0.3">
      <c r="D27" s="38" t="s">
        <v>56</v>
      </c>
      <c r="E27" s="40" t="s">
        <v>53</v>
      </c>
      <c r="F27" s="41" t="s">
        <v>55</v>
      </c>
      <c r="G27" s="42" t="s">
        <v>57</v>
      </c>
      <c r="H27" s="2"/>
      <c r="L27" s="5"/>
      <c r="N27" s="2"/>
    </row>
    <row r="28" spans="1:65" ht="15.75" thickBot="1" x14ac:dyDescent="0.3">
      <c r="D28" s="38" t="s">
        <v>58</v>
      </c>
      <c r="E28" s="40" t="s">
        <v>53</v>
      </c>
      <c r="F28" s="41" t="s">
        <v>55</v>
      </c>
      <c r="G28" s="42" t="s">
        <v>57</v>
      </c>
      <c r="H28" s="2"/>
      <c r="L28" s="5"/>
      <c r="N28" s="2"/>
    </row>
    <row r="29" spans="1:65" ht="15.75" thickBot="1" x14ac:dyDescent="0.3">
      <c r="D29" s="38" t="s">
        <v>59</v>
      </c>
      <c r="E29" s="40" t="s">
        <v>53</v>
      </c>
      <c r="F29" s="41" t="s">
        <v>55</v>
      </c>
      <c r="G29" s="42" t="s">
        <v>57</v>
      </c>
      <c r="H29" s="2"/>
      <c r="L29" s="5"/>
      <c r="N29" s="2"/>
    </row>
    <row r="30" spans="1:65" x14ac:dyDescent="0.25">
      <c r="D30" s="2"/>
      <c r="E30" s="2"/>
      <c r="F30" s="2"/>
      <c r="G30" s="5"/>
      <c r="I30" s="5"/>
    </row>
    <row r="31" spans="1:65" ht="15" x14ac:dyDescent="0.25">
      <c r="D31" s="43" t="s">
        <v>60</v>
      </c>
      <c r="E31" s="2"/>
      <c r="F31" s="2"/>
      <c r="G31" s="5"/>
      <c r="I31" s="5"/>
      <c r="J31" s="5"/>
      <c r="K31" s="5"/>
    </row>
    <row r="32" spans="1:65" ht="15" x14ac:dyDescent="0.25">
      <c r="D32" s="44" t="s">
        <v>61</v>
      </c>
      <c r="E32" s="2"/>
      <c r="F32" s="2"/>
      <c r="G32" s="5"/>
      <c r="I32" s="5"/>
      <c r="J32" s="5"/>
      <c r="K32" s="5"/>
    </row>
    <row r="33" spans="4:11" ht="15" x14ac:dyDescent="0.25">
      <c r="D33" s="45" t="s">
        <v>62</v>
      </c>
      <c r="E33" s="2"/>
      <c r="F33" s="2"/>
      <c r="G33" s="5"/>
      <c r="I33" s="5"/>
      <c r="J33" s="5"/>
      <c r="K33" s="5"/>
    </row>
    <row r="34" spans="4:11" ht="15" x14ac:dyDescent="0.25">
      <c r="D34" s="46" t="s">
        <v>63</v>
      </c>
      <c r="E34" s="2"/>
      <c r="F34" s="2"/>
      <c r="G34" s="5"/>
      <c r="I34" s="5"/>
      <c r="J34" s="5"/>
      <c r="K34" s="5"/>
    </row>
  </sheetData>
  <mergeCells count="34">
    <mergeCell ref="A1:C4"/>
    <mergeCell ref="D1:O4"/>
    <mergeCell ref="P1:Q1"/>
    <mergeCell ref="P2:Q2"/>
    <mergeCell ref="P3:Q3"/>
    <mergeCell ref="P4:Q4"/>
    <mergeCell ref="A6:C6"/>
    <mergeCell ref="D6:Q6"/>
    <mergeCell ref="A8:C8"/>
    <mergeCell ref="D8:Q8"/>
    <mergeCell ref="A10:C10"/>
    <mergeCell ref="D10:Q10"/>
    <mergeCell ref="A12:C12"/>
    <mergeCell ref="D12:Q12"/>
    <mergeCell ref="AB13:AT13"/>
    <mergeCell ref="AV13:BO13"/>
    <mergeCell ref="A14:C14"/>
    <mergeCell ref="D14:E14"/>
    <mergeCell ref="G14:G16"/>
    <mergeCell ref="H14:J14"/>
    <mergeCell ref="K14:M14"/>
    <mergeCell ref="N14:Q14"/>
    <mergeCell ref="A15:A16"/>
    <mergeCell ref="B15:B16"/>
    <mergeCell ref="C15:C16"/>
    <mergeCell ref="D15:E15"/>
    <mergeCell ref="H15:J15"/>
    <mergeCell ref="N15:N16"/>
    <mergeCell ref="O15:O16"/>
    <mergeCell ref="P15:P16"/>
    <mergeCell ref="Q15:Q16"/>
    <mergeCell ref="D23:D24"/>
    <mergeCell ref="E23:G23"/>
    <mergeCell ref="K15:M15"/>
  </mergeCells>
  <conditionalFormatting sqref="F17:F20 J17:J20">
    <cfRule type="containsText" dxfId="31" priority="1" operator="containsText" text="E">
      <formula>NOT(ISERROR(SEARCH("E",F17)))</formula>
    </cfRule>
    <cfRule type="containsText" dxfId="30" priority="2" operator="containsText" text="M">
      <formula>NOT(ISERROR(SEARCH("M",F17)))</formula>
    </cfRule>
    <cfRule type="containsText" dxfId="29" priority="3" operator="containsText" text="A">
      <formula>NOT(ISERROR(SEARCH("A",F17)))</formula>
    </cfRule>
    <cfRule type="containsText" dxfId="28" priority="4" operator="containsText" text="B">
      <formula>NOT(ISERROR(SEARCH("B",F17)))</formula>
    </cfRule>
  </conditionalFormatting>
  <pageMargins left="0.7" right="0.7" top="0.75" bottom="0.75" header="0.3" footer="0.3"/>
  <pageSetup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MapaRiesgos Gest Comunicaci</vt:lpstr>
      <vt:lpstr>MapaRiesgos Gest Planeación</vt:lpstr>
      <vt:lpstr>MapaRiesgos Gener datos e inf </vt:lpstr>
      <vt:lpstr>MapaRiesgos Gen Conoci e Inv </vt:lpstr>
      <vt:lpstr>MapaRiesgos Servicios</vt:lpstr>
      <vt:lpstr>MapaRiesgos Atención ciudadano</vt:lpstr>
      <vt:lpstr>MapaRiesgos Gest Documental</vt:lpstr>
      <vt:lpstr>MapaRiesgos Gest Juríd Contract</vt:lpstr>
      <vt:lpstr>MapaRiesgos Gest Finan-Contab</vt:lpstr>
      <vt:lpstr>MapaRiesgos Gest Finan-Presupue</vt:lpstr>
      <vt:lpstr>MapaRiesgos Gest Finan-Tesorerí</vt:lpstr>
      <vt:lpstr>MapaRiesgos Gest Informática</vt:lpstr>
      <vt:lpstr>MapaRiesgos Gest Recursos Físic</vt:lpstr>
      <vt:lpstr>MapaRiesgos Gest Des Talento H</vt:lpstr>
      <vt:lpstr>MapaRiesgo Gest Cont Discip Int</vt:lpstr>
      <vt:lpstr>MapaRiesgos Gest Mejoram Contin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Sirley Johana Corredor Monsalve</dc:creator>
  <cp:lastModifiedBy>Sirley Johana Corredor Monsalve</cp:lastModifiedBy>
  <cp:lastPrinted>2016-07-07T20:32:58Z</cp:lastPrinted>
  <dcterms:created xsi:type="dcterms:W3CDTF">2016-03-29T14:13:21Z</dcterms:created>
  <dcterms:modified xsi:type="dcterms:W3CDTF">2017-01-31T18:44:00Z</dcterms:modified>
</cp:coreProperties>
</file>