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aneacion\Desktop\"/>
    </mc:Choice>
  </mc:AlternateContent>
  <bookViews>
    <workbookView xWindow="0" yWindow="0" windowWidth="19200" windowHeight="7190" firstSheet="15" activeTab="17"/>
  </bookViews>
  <sheets>
    <sheet name="MapaRiesgos Gest Comunicaci" sheetId="21" r:id="rId1"/>
    <sheet name="MapaRiesgos Gest Planeación" sheetId="20" r:id="rId2"/>
    <sheet name="MapaRiesgos Gener datos e inf " sheetId="17" r:id="rId3"/>
    <sheet name="MapaRiesgos Gen Conoci e Inv " sheetId="18" r:id="rId4"/>
    <sheet name="Mapa Riesgos Pronosticos" sheetId="28" r:id="rId5"/>
    <sheet name="Mapa Riesgos Acreditac. de labo" sheetId="30" r:id="rId6"/>
    <sheet name="MapaRiesgos Atención ciudadano" sheetId="24" r:id="rId7"/>
    <sheet name="MapaRiesgos Gest Documental" sheetId="22" r:id="rId8"/>
    <sheet name="MapaRiesgos Gest Juríd Contract" sheetId="7" r:id="rId9"/>
    <sheet name="MapaRiesgos Gest Finan-Contab" sheetId="5" r:id="rId10"/>
    <sheet name="MapaRiesgos Gest Finan-Presupue" sheetId="15" r:id="rId11"/>
    <sheet name="MapaRiesgos Gest Finan-Tesorerí" sheetId="13" r:id="rId12"/>
    <sheet name="MapaRiesgos Gest Informática" sheetId="8" r:id="rId13"/>
    <sheet name="MapaRiesgos Gest Recursos Físic" sheetId="9" r:id="rId14"/>
    <sheet name="MapaRiesgos Gest Des Talento H" sheetId="10" r:id="rId15"/>
    <sheet name="MapaRiesgo Gest SGI" sheetId="32" r:id="rId16"/>
    <sheet name="MapaRiesgo Gest Cont Discip Int" sheetId="12" r:id="rId17"/>
    <sheet name="MapaRiesgos Gest Mejoram Contin" sheetId="16" r:id="rId18"/>
    <sheet name="Hoja2" sheetId="31" r:id="rId19"/>
    <sheet name="Hoja1" sheetId="25" r:id="rId20"/>
    <sheet name="Hoja3" sheetId="33"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xlnm.Print_Area" localSheetId="7">'MapaRiesgos Gest Documental'!$A$1:$V$33</definedName>
  </definedNames>
  <calcPr calcId="162913"/>
</workbook>
</file>

<file path=xl/calcChain.xml><?xml version="1.0" encoding="utf-8"?>
<calcChain xmlns="http://schemas.openxmlformats.org/spreadsheetml/2006/main">
  <c r="F17" i="32" l="1"/>
  <c r="G17" i="32" s="1"/>
  <c r="D17" i="32"/>
  <c r="C17" i="32"/>
  <c r="E17" i="32" s="1"/>
  <c r="B17" i="32"/>
  <c r="A17" i="32"/>
  <c r="F12" i="32"/>
  <c r="F8" i="32"/>
  <c r="F19" i="32"/>
  <c r="G19" i="32" s="1"/>
  <c r="D19" i="32"/>
  <c r="C19" i="32"/>
  <c r="E19" i="32" s="1"/>
  <c r="B19" i="32"/>
  <c r="A19" i="32"/>
  <c r="BR18" i="32"/>
  <c r="BQ18" i="32"/>
  <c r="BP18" i="32"/>
  <c r="BO18" i="32"/>
  <c r="BN18" i="32"/>
  <c r="BK18" i="32"/>
  <c r="BJ18" i="32"/>
  <c r="BI18" i="32"/>
  <c r="BH18" i="32"/>
  <c r="BG18" i="32"/>
  <c r="BD18" i="32"/>
  <c r="BC18" i="32"/>
  <c r="BB18" i="32"/>
  <c r="BA18" i="32"/>
  <c r="AZ18" i="32"/>
  <c r="AV18" i="32"/>
  <c r="AU18" i="32"/>
  <c r="AT18" i="32"/>
  <c r="AS18" i="32"/>
  <c r="AR18" i="32"/>
  <c r="AO18" i="32"/>
  <c r="AN18" i="32"/>
  <c r="AM18" i="32"/>
  <c r="AL18" i="32"/>
  <c r="AK18" i="32"/>
  <c r="AI18" i="32"/>
  <c r="AH18" i="32"/>
  <c r="AG18" i="32"/>
  <c r="AF18" i="32"/>
  <c r="AE18" i="32"/>
  <c r="N18" i="32" s="1"/>
  <c r="AB18" i="32"/>
  <c r="AA18" i="32"/>
  <c r="Z18" i="32"/>
  <c r="Y18" i="32"/>
  <c r="X18" i="32"/>
  <c r="H17" i="32" l="1"/>
  <c r="J18" i="32"/>
  <c r="H19" i="32"/>
  <c r="BR19" i="32" s="1"/>
  <c r="BD19" i="32" l="1"/>
  <c r="BP19" i="32"/>
  <c r="AS19" i="32"/>
  <c r="BJ19" i="32"/>
  <c r="AZ19" i="32"/>
  <c r="AM19" i="32"/>
  <c r="BQ17" i="32"/>
  <c r="BO17" i="32"/>
  <c r="BK17" i="32"/>
  <c r="BI17" i="32"/>
  <c r="BG17" i="32"/>
  <c r="BC17" i="32"/>
  <c r="BA17" i="32"/>
  <c r="AV17" i="32"/>
  <c r="AT17" i="32"/>
  <c r="AR17" i="32"/>
  <c r="AN17" i="32"/>
  <c r="AL17" i="32"/>
  <c r="AI17" i="32"/>
  <c r="AG17" i="32"/>
  <c r="AE17" i="32"/>
  <c r="AA17" i="32"/>
  <c r="Y17" i="32"/>
  <c r="AB17" i="32"/>
  <c r="Z17" i="32"/>
  <c r="BR17" i="32"/>
  <c r="BP17" i="32"/>
  <c r="BN17" i="32"/>
  <c r="BJ17" i="32"/>
  <c r="BH17" i="32"/>
  <c r="BD17" i="32"/>
  <c r="BB17" i="32"/>
  <c r="AZ17" i="32"/>
  <c r="AU17" i="32"/>
  <c r="AS17" i="32"/>
  <c r="AO17" i="32"/>
  <c r="AM17" i="32"/>
  <c r="AK17" i="32"/>
  <c r="AH17" i="32"/>
  <c r="AF17" i="32"/>
  <c r="X17" i="32"/>
  <c r="I17" i="32"/>
  <c r="AH19" i="32"/>
  <c r="AB19" i="32"/>
  <c r="X19" i="32"/>
  <c r="BN19" i="32"/>
  <c r="BH19" i="32"/>
  <c r="BB19" i="32"/>
  <c r="AU19" i="32"/>
  <c r="AO19" i="32"/>
  <c r="AK19" i="32"/>
  <c r="AF19" i="32"/>
  <c r="Z19" i="32"/>
  <c r="BQ19" i="32"/>
  <c r="BO19" i="32"/>
  <c r="BK19" i="32"/>
  <c r="BI19" i="32"/>
  <c r="BG19" i="32"/>
  <c r="BC19" i="32"/>
  <c r="BA19" i="32"/>
  <c r="AV19" i="32"/>
  <c r="AT19" i="32"/>
  <c r="AR19" i="32"/>
  <c r="AN19" i="32"/>
  <c r="AL19" i="32"/>
  <c r="AI19" i="32"/>
  <c r="AG19" i="32"/>
  <c r="AE19" i="32"/>
  <c r="AA19" i="32"/>
  <c r="Y19" i="32"/>
  <c r="I19" i="32"/>
  <c r="N19" i="32" l="1"/>
  <c r="J19" i="32"/>
  <c r="D18" i="18" l="1"/>
  <c r="B18" i="18"/>
  <c r="A18" i="18"/>
  <c r="F12" i="20" l="1"/>
  <c r="F18" i="18" l="1"/>
  <c r="G18" i="18" s="1"/>
  <c r="C18" i="18"/>
  <c r="E18" i="18" s="1"/>
  <c r="F17" i="18"/>
  <c r="G17" i="18" s="1"/>
  <c r="D17" i="18"/>
  <c r="C17" i="18"/>
  <c r="E17" i="18" s="1"/>
  <c r="B17" i="18"/>
  <c r="A17" i="18"/>
  <c r="H17" i="18" l="1"/>
  <c r="I17" i="18" s="1"/>
  <c r="H18" i="18"/>
  <c r="I18" i="18" s="1"/>
  <c r="F19" i="17"/>
  <c r="G19" i="17" s="1"/>
  <c r="D19" i="17"/>
  <c r="C19" i="17"/>
  <c r="E19" i="17" s="1"/>
  <c r="B19" i="17"/>
  <c r="A19" i="17"/>
  <c r="F18" i="17"/>
  <c r="G18" i="17" s="1"/>
  <c r="D18" i="17"/>
  <c r="C18" i="17"/>
  <c r="E18" i="17" s="1"/>
  <c r="B18" i="17"/>
  <c r="A18" i="17"/>
  <c r="F17" i="17"/>
  <c r="G17" i="17" s="1"/>
  <c r="D17" i="17"/>
  <c r="C17" i="17"/>
  <c r="E17" i="17" s="1"/>
  <c r="B17" i="17"/>
  <c r="A17" i="17"/>
  <c r="F12" i="17"/>
  <c r="H19" i="17" l="1"/>
  <c r="I19" i="17" s="1"/>
  <c r="H18" i="17"/>
  <c r="I18" i="17" s="1"/>
  <c r="H17" i="17"/>
  <c r="I17" i="17" s="1"/>
  <c r="F12" i="30" l="1"/>
  <c r="F6" i="30"/>
  <c r="F19" i="12" l="1"/>
  <c r="G19" i="12" s="1"/>
  <c r="D19" i="12"/>
  <c r="C19" i="12"/>
  <c r="E19" i="12" s="1"/>
  <c r="B19" i="12"/>
  <c r="A19" i="12"/>
  <c r="H19" i="12" l="1"/>
  <c r="I19" i="12" s="1"/>
  <c r="F21" i="22"/>
  <c r="G21" i="22" s="1"/>
  <c r="D21" i="22"/>
  <c r="C21" i="22"/>
  <c r="E21" i="22" s="1"/>
  <c r="B21" i="22"/>
  <c r="A21" i="22"/>
  <c r="F20" i="22"/>
  <c r="G20" i="22" s="1"/>
  <c r="D20" i="22"/>
  <c r="C20" i="22"/>
  <c r="E20" i="22" s="1"/>
  <c r="B20" i="22"/>
  <c r="A20" i="22"/>
  <c r="F19" i="22"/>
  <c r="G19" i="22" s="1"/>
  <c r="D19" i="22"/>
  <c r="C19" i="22"/>
  <c r="E19" i="22" s="1"/>
  <c r="B19" i="22"/>
  <c r="A19" i="22"/>
  <c r="H19" i="22" l="1"/>
  <c r="I19" i="22" s="1"/>
  <c r="H20" i="22"/>
  <c r="I20" i="22" s="1"/>
  <c r="H21" i="22"/>
  <c r="I21" i="22"/>
  <c r="BR19" i="30"/>
  <c r="BQ19" i="30"/>
  <c r="BP19" i="30"/>
  <c r="BO19" i="30"/>
  <c r="BN19" i="30"/>
  <c r="BK19" i="30"/>
  <c r="BJ19" i="30"/>
  <c r="BI19" i="30"/>
  <c r="BH19" i="30"/>
  <c r="BG19" i="30"/>
  <c r="BD19" i="30"/>
  <c r="BC19" i="30"/>
  <c r="BB19" i="30"/>
  <c r="BA19" i="30"/>
  <c r="AZ19" i="30"/>
  <c r="AV19" i="30"/>
  <c r="AU19" i="30"/>
  <c r="AT19" i="30"/>
  <c r="AS19" i="30"/>
  <c r="AR19" i="30"/>
  <c r="AO19" i="30"/>
  <c r="AN19" i="30"/>
  <c r="AM19" i="30"/>
  <c r="AL19" i="30"/>
  <c r="AK19" i="30"/>
  <c r="AI19" i="30"/>
  <c r="AH19" i="30"/>
  <c r="AG19" i="30"/>
  <c r="AF19" i="30"/>
  <c r="AE19" i="30"/>
  <c r="AB19" i="30"/>
  <c r="AA19" i="30"/>
  <c r="Z19" i="30"/>
  <c r="Y19" i="30"/>
  <c r="X19" i="30"/>
  <c r="BR18" i="30"/>
  <c r="BQ18" i="30"/>
  <c r="BP18" i="30"/>
  <c r="BO18" i="30"/>
  <c r="BN18" i="30"/>
  <c r="BK18" i="30"/>
  <c r="BJ18" i="30"/>
  <c r="BI18" i="30"/>
  <c r="BH18" i="30"/>
  <c r="BG18" i="30"/>
  <c r="BD18" i="30"/>
  <c r="BC18" i="30"/>
  <c r="BB18" i="30"/>
  <c r="BA18" i="30"/>
  <c r="AZ18" i="30"/>
  <c r="AV18" i="30"/>
  <c r="AU18" i="30"/>
  <c r="AT18" i="30"/>
  <c r="AS18" i="30"/>
  <c r="AR18" i="30"/>
  <c r="AO18" i="30"/>
  <c r="AN18" i="30"/>
  <c r="AM18" i="30"/>
  <c r="AL18" i="30"/>
  <c r="AK18" i="30"/>
  <c r="AI18" i="30"/>
  <c r="AH18" i="30"/>
  <c r="AG18" i="30"/>
  <c r="AF18" i="30"/>
  <c r="AE18" i="30"/>
  <c r="AB18" i="30"/>
  <c r="AA18" i="30"/>
  <c r="Z18" i="30"/>
  <c r="Y18" i="30"/>
  <c r="X18" i="30"/>
  <c r="BR17" i="30"/>
  <c r="BQ17" i="30"/>
  <c r="BP17" i="30"/>
  <c r="BO17" i="30"/>
  <c r="BN17" i="30"/>
  <c r="BK17" i="30"/>
  <c r="BJ17" i="30"/>
  <c r="BI17" i="30"/>
  <c r="BH17" i="30"/>
  <c r="BG17" i="30"/>
  <c r="BD17" i="30"/>
  <c r="BC17" i="30"/>
  <c r="BB17" i="30"/>
  <c r="BA17" i="30"/>
  <c r="AZ17" i="30"/>
  <c r="AV17" i="30"/>
  <c r="AU17" i="30"/>
  <c r="AT17" i="30"/>
  <c r="AS17" i="30"/>
  <c r="AR17" i="30"/>
  <c r="AO17" i="30"/>
  <c r="AN17" i="30"/>
  <c r="AM17" i="30"/>
  <c r="AL17" i="30"/>
  <c r="AK17" i="30"/>
  <c r="AI17" i="30"/>
  <c r="AH17" i="30"/>
  <c r="AG17" i="30"/>
  <c r="AF17" i="30"/>
  <c r="AE17" i="30"/>
  <c r="AB17" i="30"/>
  <c r="AA17" i="30"/>
  <c r="Z17" i="30"/>
  <c r="Y17" i="30"/>
  <c r="X17" i="30"/>
  <c r="F8" i="30"/>
  <c r="BR19" i="28"/>
  <c r="BQ19" i="28"/>
  <c r="BP19" i="28"/>
  <c r="BO19" i="28"/>
  <c r="BN19" i="28"/>
  <c r="BK19" i="28"/>
  <c r="BJ19" i="28"/>
  <c r="BI19" i="28"/>
  <c r="BH19" i="28"/>
  <c r="BG19" i="28"/>
  <c r="BD19" i="28"/>
  <c r="BC19" i="28"/>
  <c r="BB19" i="28"/>
  <c r="BA19" i="28"/>
  <c r="AZ19" i="28"/>
  <c r="AV19" i="28"/>
  <c r="AU19" i="28"/>
  <c r="AT19" i="28"/>
  <c r="AS19" i="28"/>
  <c r="AR19" i="28"/>
  <c r="AO19" i="28"/>
  <c r="AN19" i="28"/>
  <c r="AM19" i="28"/>
  <c r="AL19" i="28"/>
  <c r="AK19" i="28"/>
  <c r="AI19" i="28"/>
  <c r="AH19" i="28"/>
  <c r="AG19" i="28"/>
  <c r="AF19" i="28"/>
  <c r="AE19" i="28"/>
  <c r="AB19" i="28"/>
  <c r="AA19" i="28"/>
  <c r="Z19" i="28"/>
  <c r="Y19" i="28"/>
  <c r="X19" i="28"/>
  <c r="BR18" i="28"/>
  <c r="BQ18" i="28"/>
  <c r="BP18" i="28"/>
  <c r="BO18" i="28"/>
  <c r="BN18" i="28"/>
  <c r="BK18" i="28"/>
  <c r="BJ18" i="28"/>
  <c r="BI18" i="28"/>
  <c r="BH18" i="28"/>
  <c r="BG18" i="28"/>
  <c r="BD18" i="28"/>
  <c r="BC18" i="28"/>
  <c r="BB18" i="28"/>
  <c r="BA18" i="28"/>
  <c r="AZ18" i="28"/>
  <c r="AV18" i="28"/>
  <c r="AU18" i="28"/>
  <c r="AT18" i="28"/>
  <c r="AS18" i="28"/>
  <c r="AR18" i="28"/>
  <c r="AO18" i="28"/>
  <c r="AN18" i="28"/>
  <c r="AM18" i="28"/>
  <c r="AL18" i="28"/>
  <c r="AK18" i="28"/>
  <c r="AI18" i="28"/>
  <c r="AH18" i="28"/>
  <c r="AG18" i="28"/>
  <c r="AF18" i="28"/>
  <c r="AE18" i="28"/>
  <c r="AB18" i="28"/>
  <c r="AA18" i="28"/>
  <c r="Z18" i="28"/>
  <c r="Y18" i="28"/>
  <c r="X18" i="28"/>
  <c r="BR17" i="28"/>
  <c r="BQ17" i="28"/>
  <c r="BP17" i="28"/>
  <c r="BO17" i="28"/>
  <c r="BN17" i="28"/>
  <c r="BK17" i="28"/>
  <c r="BJ17" i="28"/>
  <c r="BI17" i="28"/>
  <c r="BH17" i="28"/>
  <c r="BG17" i="28"/>
  <c r="BD17" i="28"/>
  <c r="BC17" i="28"/>
  <c r="BB17" i="28"/>
  <c r="BA17" i="28"/>
  <c r="AZ17" i="28"/>
  <c r="AV17" i="28"/>
  <c r="AU17" i="28"/>
  <c r="AT17" i="28"/>
  <c r="AS17" i="28"/>
  <c r="AR17" i="28"/>
  <c r="AO17" i="28"/>
  <c r="AN17" i="28"/>
  <c r="AM17" i="28"/>
  <c r="AL17" i="28"/>
  <c r="AK17" i="28"/>
  <c r="AI17" i="28"/>
  <c r="AH17" i="28"/>
  <c r="AG17" i="28"/>
  <c r="AF17" i="28"/>
  <c r="AE17" i="28"/>
  <c r="AB17" i="28"/>
  <c r="AA17" i="28"/>
  <c r="Z17" i="28"/>
  <c r="Y17" i="28"/>
  <c r="X17" i="28"/>
  <c r="F8" i="28"/>
  <c r="F22" i="10" l="1"/>
  <c r="G22" i="10" s="1"/>
  <c r="D22" i="10"/>
  <c r="C22" i="10"/>
  <c r="E22" i="10" s="1"/>
  <c r="B22" i="10"/>
  <c r="A22" i="10"/>
  <c r="F21" i="10"/>
  <c r="G21" i="10" s="1"/>
  <c r="D21" i="10"/>
  <c r="C21" i="10"/>
  <c r="E21" i="10" s="1"/>
  <c r="B21" i="10"/>
  <c r="A21" i="10"/>
  <c r="F20" i="10"/>
  <c r="G20" i="10" s="1"/>
  <c r="D20" i="10"/>
  <c r="C20" i="10"/>
  <c r="E20" i="10" s="1"/>
  <c r="B20" i="10"/>
  <c r="A20" i="10"/>
  <c r="F19" i="10"/>
  <c r="G19" i="10" s="1"/>
  <c r="D19" i="10"/>
  <c r="C19" i="10"/>
  <c r="E19" i="10" s="1"/>
  <c r="B19" i="10"/>
  <c r="A19" i="10"/>
  <c r="A18" i="10"/>
  <c r="F18" i="10"/>
  <c r="G18" i="10" s="1"/>
  <c r="D18" i="10"/>
  <c r="C18" i="10"/>
  <c r="E18" i="10" s="1"/>
  <c r="B18" i="10"/>
  <c r="H21" i="10" l="1"/>
  <c r="I21" i="10" s="1"/>
  <c r="H22" i="10"/>
  <c r="I22" i="10" s="1"/>
  <c r="H19" i="10"/>
  <c r="I19" i="10" s="1"/>
  <c r="H20" i="10"/>
  <c r="I20" i="10" s="1"/>
  <c r="H18" i="10"/>
  <c r="I18" i="10" s="1"/>
  <c r="F17" i="10" l="1"/>
  <c r="G17" i="10" s="1"/>
  <c r="D17" i="10"/>
  <c r="C17" i="10"/>
  <c r="E17" i="10" s="1"/>
  <c r="B17" i="10"/>
  <c r="A17" i="10"/>
  <c r="H17" i="10" l="1"/>
  <c r="I17" i="10" s="1"/>
  <c r="F12" i="15" l="1"/>
  <c r="F23" i="9" l="1"/>
  <c r="G23" i="9" s="1"/>
  <c r="D23" i="9"/>
  <c r="C23" i="9"/>
  <c r="E23" i="9" s="1"/>
  <c r="B23" i="9"/>
  <c r="A23" i="9"/>
  <c r="F22" i="9"/>
  <c r="G22" i="9" s="1"/>
  <c r="D22" i="9"/>
  <c r="C22" i="9"/>
  <c r="E22" i="9" s="1"/>
  <c r="B22" i="9"/>
  <c r="A22" i="9"/>
  <c r="H23" i="9" l="1"/>
  <c r="I23" i="9" s="1"/>
  <c r="H22" i="9"/>
  <c r="I22" i="9" s="1"/>
  <c r="BQ18" i="16" l="1"/>
  <c r="BR17" i="16"/>
  <c r="BQ17" i="16"/>
  <c r="BP17" i="16"/>
  <c r="BO17" i="16"/>
  <c r="BN17" i="16"/>
  <c r="BK17" i="16"/>
  <c r="BJ17" i="16"/>
  <c r="BI17" i="16"/>
  <c r="BH17" i="16"/>
  <c r="BG17" i="16"/>
  <c r="BD17" i="16"/>
  <c r="BC17" i="16"/>
  <c r="BB17" i="16"/>
  <c r="BA17" i="16"/>
  <c r="AZ17" i="16"/>
  <c r="AV17" i="16"/>
  <c r="AU17" i="16"/>
  <c r="AT17" i="16"/>
  <c r="AS17" i="16"/>
  <c r="AR17" i="16"/>
  <c r="AO17" i="16"/>
  <c r="AN17" i="16"/>
  <c r="AM17" i="16"/>
  <c r="AL17" i="16"/>
  <c r="AK17" i="16"/>
  <c r="AI17" i="16"/>
  <c r="AH17" i="16"/>
  <c r="AG17" i="16"/>
  <c r="AF17" i="16"/>
  <c r="AE17" i="16"/>
  <c r="AB17" i="16"/>
  <c r="AA17" i="16"/>
  <c r="Z17" i="16"/>
  <c r="Y17" i="16"/>
  <c r="X17" i="16"/>
  <c r="F8" i="16"/>
  <c r="F8" i="12"/>
  <c r="F6" i="12"/>
  <c r="BR19" i="10"/>
  <c r="BQ19" i="10"/>
  <c r="BP19" i="10"/>
  <c r="BO19" i="10"/>
  <c r="BN19" i="10"/>
  <c r="BK19" i="10"/>
  <c r="BJ19" i="10"/>
  <c r="BI19" i="10"/>
  <c r="BH19" i="10"/>
  <c r="BG19" i="10"/>
  <c r="BD19" i="10"/>
  <c r="BC19" i="10"/>
  <c r="BB19" i="10"/>
  <c r="BA19" i="10"/>
  <c r="AZ19" i="10"/>
  <c r="AV19" i="10"/>
  <c r="AU19" i="10"/>
  <c r="AT19" i="10"/>
  <c r="AS19" i="10"/>
  <c r="AR19" i="10"/>
  <c r="AO19" i="10"/>
  <c r="AN19" i="10"/>
  <c r="AM19" i="10"/>
  <c r="AL19" i="10"/>
  <c r="AK19" i="10"/>
  <c r="AI19" i="10"/>
  <c r="AH19" i="10"/>
  <c r="AG19" i="10"/>
  <c r="AF19" i="10"/>
  <c r="AE19" i="10"/>
  <c r="AB19" i="10"/>
  <c r="AA19" i="10"/>
  <c r="Z19" i="10"/>
  <c r="Y19" i="10"/>
  <c r="X19" i="10"/>
  <c r="BR18" i="10"/>
  <c r="BQ18" i="10"/>
  <c r="BP18" i="10"/>
  <c r="BO18" i="10"/>
  <c r="BN18" i="10"/>
  <c r="BK18" i="10"/>
  <c r="BJ18" i="10"/>
  <c r="BI18" i="10"/>
  <c r="BH18" i="10"/>
  <c r="BG18" i="10"/>
  <c r="BD18" i="10"/>
  <c r="BC18" i="10"/>
  <c r="BB18" i="10"/>
  <c r="BA18" i="10"/>
  <c r="AZ18" i="10"/>
  <c r="AV18" i="10"/>
  <c r="AU18" i="10"/>
  <c r="AT18" i="10"/>
  <c r="AS18" i="10"/>
  <c r="AR18" i="10"/>
  <c r="AO18" i="10"/>
  <c r="AN18" i="10"/>
  <c r="AM18" i="10"/>
  <c r="AL18" i="10"/>
  <c r="AK18" i="10"/>
  <c r="AI18" i="10"/>
  <c r="AH18" i="10"/>
  <c r="AG18" i="10"/>
  <c r="AF18" i="10"/>
  <c r="AE18" i="10"/>
  <c r="AB18" i="10"/>
  <c r="AA18" i="10"/>
  <c r="Z18" i="10"/>
  <c r="Y18" i="10"/>
  <c r="X18" i="10"/>
  <c r="BR17" i="10"/>
  <c r="BQ17" i="10"/>
  <c r="BP17" i="10"/>
  <c r="BO17" i="10"/>
  <c r="BN17" i="10"/>
  <c r="BK17" i="10"/>
  <c r="BJ17" i="10"/>
  <c r="BI17" i="10"/>
  <c r="BH17" i="10"/>
  <c r="BG17" i="10"/>
  <c r="BD17" i="10"/>
  <c r="BC17" i="10"/>
  <c r="BB17" i="10"/>
  <c r="BA17" i="10"/>
  <c r="AZ17" i="10"/>
  <c r="AV17" i="10"/>
  <c r="AU17" i="10"/>
  <c r="AT17" i="10"/>
  <c r="AS17" i="10"/>
  <c r="AR17" i="10"/>
  <c r="AO17" i="10"/>
  <c r="AN17" i="10"/>
  <c r="AM17" i="10"/>
  <c r="AL17" i="10"/>
  <c r="AK17" i="10"/>
  <c r="AI17" i="10"/>
  <c r="AH17" i="10"/>
  <c r="AG17" i="10"/>
  <c r="F8" i="10"/>
  <c r="F6" i="10"/>
  <c r="BQ18" i="9"/>
  <c r="BR17" i="9"/>
  <c r="F8" i="9"/>
  <c r="BQ17" i="8"/>
  <c r="BP17" i="8"/>
  <c r="BO17" i="8"/>
  <c r="BN17" i="8"/>
  <c r="BM17" i="8"/>
  <c r="BJ17" i="8"/>
  <c r="BI17" i="8"/>
  <c r="BH17" i="8"/>
  <c r="BG17" i="8"/>
  <c r="BF17" i="8"/>
  <c r="BC17" i="8"/>
  <c r="BB17" i="8"/>
  <c r="BA17" i="8"/>
  <c r="AZ17" i="8"/>
  <c r="AY17" i="8"/>
  <c r="AU17" i="8"/>
  <c r="AT17" i="8"/>
  <c r="AS17" i="8"/>
  <c r="AR17" i="8"/>
  <c r="AQ17" i="8"/>
  <c r="AN17" i="8"/>
  <c r="AM17" i="8"/>
  <c r="AL17" i="8"/>
  <c r="AK17" i="8"/>
  <c r="AJ17" i="8"/>
  <c r="AH17" i="8"/>
  <c r="AG17" i="8"/>
  <c r="AF17" i="8"/>
  <c r="AE17" i="8"/>
  <c r="AD17" i="8"/>
  <c r="AA17" i="8"/>
  <c r="Z17" i="8"/>
  <c r="Y17" i="8"/>
  <c r="X17" i="8"/>
  <c r="W17" i="8"/>
  <c r="F8" i="8"/>
  <c r="F6" i="8"/>
  <c r="BQ17" i="13"/>
  <c r="F8" i="13"/>
  <c r="F6" i="13"/>
  <c r="BR19" i="15"/>
  <c r="BQ19" i="15"/>
  <c r="BP19" i="15"/>
  <c r="BO19" i="15"/>
  <c r="BN19" i="15"/>
  <c r="BK19" i="15"/>
  <c r="BJ19" i="15"/>
  <c r="BI19" i="15"/>
  <c r="BH19" i="15"/>
  <c r="BG19" i="15"/>
  <c r="BD19" i="15"/>
  <c r="BC19" i="15"/>
  <c r="BB19" i="15"/>
  <c r="BA19" i="15"/>
  <c r="AZ19" i="15"/>
  <c r="AV19" i="15"/>
  <c r="AU19" i="15"/>
  <c r="AT19" i="15"/>
  <c r="AS19" i="15"/>
  <c r="AR19" i="15"/>
  <c r="AO19" i="15"/>
  <c r="AN19" i="15"/>
  <c r="AM19" i="15"/>
  <c r="AL19" i="15"/>
  <c r="AK19" i="15"/>
  <c r="AI19" i="15"/>
  <c r="AH19" i="15"/>
  <c r="AG19" i="15"/>
  <c r="AF19" i="15"/>
  <c r="AE19" i="15"/>
  <c r="AB19" i="15"/>
  <c r="AA19" i="15"/>
  <c r="Z19" i="15"/>
  <c r="Y19" i="15"/>
  <c r="X19" i="15"/>
  <c r="BR18" i="15"/>
  <c r="BQ18" i="15"/>
  <c r="BP18" i="15"/>
  <c r="BO18" i="15"/>
  <c r="BN18" i="15"/>
  <c r="BK18" i="15"/>
  <c r="BJ18" i="15"/>
  <c r="BI18" i="15"/>
  <c r="BH18" i="15"/>
  <c r="BG18" i="15"/>
  <c r="BD18" i="15"/>
  <c r="BC18" i="15"/>
  <c r="BB18" i="15"/>
  <c r="BA18" i="15"/>
  <c r="AZ18" i="15"/>
  <c r="AV18" i="15"/>
  <c r="AU18" i="15"/>
  <c r="AT18" i="15"/>
  <c r="AS18" i="15"/>
  <c r="AR18" i="15"/>
  <c r="AO18" i="15"/>
  <c r="AN18" i="15"/>
  <c r="AM18" i="15"/>
  <c r="AL18" i="15"/>
  <c r="AK18" i="15"/>
  <c r="AI18" i="15"/>
  <c r="AH18" i="15"/>
  <c r="AG18" i="15"/>
  <c r="AF18" i="15"/>
  <c r="AE18" i="15"/>
  <c r="AB18" i="15"/>
  <c r="AA18" i="15"/>
  <c r="Z18" i="15"/>
  <c r="Y18" i="15"/>
  <c r="X18" i="15"/>
  <c r="F8" i="15"/>
  <c r="F6" i="15"/>
  <c r="BR20" i="5"/>
  <c r="BQ19" i="5"/>
  <c r="BR18" i="5"/>
  <c r="BQ17" i="5"/>
  <c r="F8" i="5"/>
  <c r="F6" i="5"/>
  <c r="BR19" i="7"/>
  <c r="BQ19" i="7"/>
  <c r="BP19" i="7"/>
  <c r="BO19" i="7"/>
  <c r="BN19" i="7"/>
  <c r="BK19" i="7"/>
  <c r="BJ19" i="7"/>
  <c r="BI19" i="7"/>
  <c r="BH19" i="7"/>
  <c r="BG19" i="7"/>
  <c r="BD19" i="7"/>
  <c r="BC19" i="7"/>
  <c r="BB19" i="7"/>
  <c r="BA19" i="7"/>
  <c r="AZ19" i="7"/>
  <c r="AV19" i="7"/>
  <c r="AU19" i="7"/>
  <c r="AT19" i="7"/>
  <c r="AS19" i="7"/>
  <c r="AR19" i="7"/>
  <c r="AO19" i="7"/>
  <c r="AN19" i="7"/>
  <c r="AM19" i="7"/>
  <c r="AL19" i="7"/>
  <c r="AK19" i="7"/>
  <c r="AI19" i="7"/>
  <c r="AH19" i="7"/>
  <c r="AG19" i="7"/>
  <c r="AF19" i="7"/>
  <c r="AE19" i="7"/>
  <c r="AB19" i="7"/>
  <c r="AA19" i="7"/>
  <c r="Z19" i="7"/>
  <c r="Y19" i="7"/>
  <c r="X19" i="7"/>
  <c r="BR18" i="7"/>
  <c r="BQ18" i="7"/>
  <c r="BP18" i="7"/>
  <c r="BO18" i="7"/>
  <c r="BN18" i="7"/>
  <c r="BK18" i="7"/>
  <c r="BJ18" i="7"/>
  <c r="BI18" i="7"/>
  <c r="BH18" i="7"/>
  <c r="BG18" i="7"/>
  <c r="BD18" i="7"/>
  <c r="BC18" i="7"/>
  <c r="BB18" i="7"/>
  <c r="BA18" i="7"/>
  <c r="AZ18" i="7"/>
  <c r="AV18" i="7"/>
  <c r="AU18" i="7"/>
  <c r="AT18" i="7"/>
  <c r="AS18" i="7"/>
  <c r="AR18" i="7"/>
  <c r="AO18" i="7"/>
  <c r="AN18" i="7"/>
  <c r="AM18" i="7"/>
  <c r="AL18" i="7"/>
  <c r="AK18" i="7"/>
  <c r="AI18" i="7"/>
  <c r="AH18" i="7"/>
  <c r="AG18" i="7"/>
  <c r="AF18" i="7"/>
  <c r="AE18" i="7"/>
  <c r="AB18" i="7"/>
  <c r="AA18" i="7"/>
  <c r="Z18" i="7"/>
  <c r="Y18" i="7"/>
  <c r="X18" i="7"/>
  <c r="F8" i="7"/>
  <c r="F6" i="7"/>
  <c r="F8" i="22"/>
  <c r="F6" i="22"/>
  <c r="BS19" i="24"/>
  <c r="BR19" i="24"/>
  <c r="BQ19" i="24"/>
  <c r="BP19" i="24"/>
  <c r="BO19" i="24"/>
  <c r="BL19" i="24"/>
  <c r="BK19" i="24"/>
  <c r="BJ19" i="24"/>
  <c r="BI19" i="24"/>
  <c r="BH19" i="24"/>
  <c r="BE19" i="24"/>
  <c r="BD19" i="24"/>
  <c r="BC19" i="24"/>
  <c r="BB19" i="24"/>
  <c r="BA19" i="24"/>
  <c r="AW19" i="24"/>
  <c r="AV19" i="24"/>
  <c r="AU19" i="24"/>
  <c r="AT19" i="24"/>
  <c r="AS19" i="24"/>
  <c r="AP19" i="24"/>
  <c r="AO19" i="24"/>
  <c r="AN19" i="24"/>
  <c r="AM19" i="24"/>
  <c r="AL19" i="24"/>
  <c r="AJ19" i="24"/>
  <c r="AI19" i="24"/>
  <c r="AH19" i="24"/>
  <c r="AG19" i="24"/>
  <c r="AF19" i="24"/>
  <c r="AC19" i="24"/>
  <c r="AB19" i="24"/>
  <c r="AA19" i="24"/>
  <c r="Z19" i="24"/>
  <c r="Y19" i="24"/>
  <c r="BS18" i="24"/>
  <c r="BR18" i="24"/>
  <c r="BQ18" i="24"/>
  <c r="BP18" i="24"/>
  <c r="BO18" i="24"/>
  <c r="BL18" i="24"/>
  <c r="BK18" i="24"/>
  <c r="BJ18" i="24"/>
  <c r="BI18" i="24"/>
  <c r="BH18" i="24"/>
  <c r="BE18" i="24"/>
  <c r="BD18" i="24"/>
  <c r="BC18" i="24"/>
  <c r="BB18" i="24"/>
  <c r="BA18" i="24"/>
  <c r="AW18" i="24"/>
  <c r="AV18" i="24"/>
  <c r="AU18" i="24"/>
  <c r="AT18" i="24"/>
  <c r="AS18" i="24"/>
  <c r="AP18" i="24"/>
  <c r="AO18" i="24"/>
  <c r="AN18" i="24"/>
  <c r="AM18" i="24"/>
  <c r="AL18" i="24"/>
  <c r="AJ18" i="24"/>
  <c r="AI18" i="24"/>
  <c r="AH18" i="24"/>
  <c r="AG18" i="24"/>
  <c r="AF18" i="24"/>
  <c r="AC18" i="24"/>
  <c r="AB18" i="24"/>
  <c r="AA18" i="24"/>
  <c r="Z18" i="24"/>
  <c r="Y18" i="24"/>
  <c r="BS17" i="24"/>
  <c r="BR17" i="24"/>
  <c r="BQ17" i="24"/>
  <c r="BP17" i="24"/>
  <c r="BO17" i="24"/>
  <c r="BL17" i="24"/>
  <c r="BK17" i="24"/>
  <c r="BJ17" i="24"/>
  <c r="BI17" i="24"/>
  <c r="BH17" i="24"/>
  <c r="BE17" i="24"/>
  <c r="BD17" i="24"/>
  <c r="BC17" i="24"/>
  <c r="BB17" i="24"/>
  <c r="BA17" i="24"/>
  <c r="AW17" i="24"/>
  <c r="AV17" i="24"/>
  <c r="AU17" i="24"/>
  <c r="AT17" i="24"/>
  <c r="AS17" i="24"/>
  <c r="AP17" i="24"/>
  <c r="AO17" i="24"/>
  <c r="AN17" i="24"/>
  <c r="AM17" i="24"/>
  <c r="AL17" i="24"/>
  <c r="AJ17" i="24"/>
  <c r="AI17" i="24"/>
  <c r="AH17" i="24"/>
  <c r="AG17" i="24"/>
  <c r="AF17" i="24"/>
  <c r="AC17" i="24"/>
  <c r="AB17" i="24"/>
  <c r="AA17" i="24"/>
  <c r="Z17" i="24"/>
  <c r="Y17" i="24"/>
  <c r="F8" i="24"/>
  <c r="F6" i="24"/>
  <c r="H19" i="18"/>
  <c r="F19" i="18"/>
  <c r="D19" i="18"/>
  <c r="B19" i="18"/>
  <c r="A19" i="18"/>
  <c r="F8" i="18"/>
  <c r="F6" i="18"/>
  <c r="AI18" i="17"/>
  <c r="F8" i="17"/>
  <c r="F6" i="17"/>
  <c r="H19" i="20"/>
  <c r="F19" i="20"/>
  <c r="F8" i="20"/>
  <c r="F6" i="20"/>
  <c r="B19" i="21"/>
  <c r="A19" i="21"/>
  <c r="B18" i="21"/>
  <c r="A18" i="21"/>
  <c r="B17" i="21"/>
  <c r="A17" i="21"/>
  <c r="F8" i="21"/>
  <c r="F6" i="21"/>
  <c r="BP17" i="21" l="1"/>
  <c r="BS18" i="21"/>
  <c r="BR19" i="21"/>
  <c r="BQ17" i="22"/>
  <c r="BP18" i="8"/>
  <c r="BR17" i="20"/>
  <c r="BP18" i="20"/>
  <c r="BP19" i="20"/>
  <c r="BS17" i="18"/>
  <c r="BS19" i="18"/>
  <c r="BQ19" i="12"/>
  <c r="AT17" i="17"/>
  <c r="BR18" i="13"/>
  <c r="BR19" i="13"/>
  <c r="X19" i="20"/>
  <c r="AI17" i="17"/>
  <c r="BE17" i="17"/>
  <c r="BQ17" i="17"/>
  <c r="BS17" i="21"/>
  <c r="BR18" i="21"/>
  <c r="BS19" i="21"/>
  <c r="BI17" i="20"/>
  <c r="AB19" i="20"/>
  <c r="AM19" i="20"/>
  <c r="AZ19" i="20"/>
  <c r="BJ19" i="20"/>
  <c r="AC17" i="17"/>
  <c r="AN17" i="17"/>
  <c r="BA17" i="17"/>
  <c r="BK17" i="17"/>
  <c r="AC18" i="17"/>
  <c r="AN18" i="17"/>
  <c r="BS19" i="17"/>
  <c r="BS18" i="18"/>
  <c r="BR17" i="22"/>
  <c r="BQ18" i="22"/>
  <c r="BR17" i="13"/>
  <c r="BQ18" i="13"/>
  <c r="X18" i="16"/>
  <c r="AB18" i="16"/>
  <c r="AH18" i="16"/>
  <c r="AM18" i="16"/>
  <c r="AS18" i="16"/>
  <c r="AZ18" i="16"/>
  <c r="BD18" i="16"/>
  <c r="BJ18" i="16"/>
  <c r="BP18" i="16"/>
  <c r="AH19" i="20"/>
  <c r="AS19" i="20"/>
  <c r="BD19" i="20"/>
  <c r="Y17" i="17"/>
  <c r="Y18" i="17"/>
  <c r="Z18" i="16"/>
  <c r="AF18" i="16"/>
  <c r="AK18" i="16"/>
  <c r="AO18" i="16"/>
  <c r="AU18" i="16"/>
  <c r="BB18" i="16"/>
  <c r="BH18" i="16"/>
  <c r="BN18" i="16"/>
  <c r="BR18" i="16"/>
  <c r="BQ17" i="9"/>
  <c r="BR18" i="9"/>
  <c r="BO19" i="9"/>
  <c r="BR17" i="12"/>
  <c r="BQ18" i="12"/>
  <c r="BR19" i="12"/>
  <c r="AA17" i="12"/>
  <c r="AL17" i="12"/>
  <c r="AV17" i="12"/>
  <c r="BI17" i="12"/>
  <c r="AA19" i="12"/>
  <c r="AL19" i="12"/>
  <c r="AV19" i="12"/>
  <c r="BI19" i="12"/>
  <c r="BQ17" i="12"/>
  <c r="AG17" i="12"/>
  <c r="AR17" i="12"/>
  <c r="BC17" i="12"/>
  <c r="BO17" i="12"/>
  <c r="AG19" i="12"/>
  <c r="AR19" i="12"/>
  <c r="BC19" i="12"/>
  <c r="BO19" i="12"/>
  <c r="BR17" i="5"/>
  <c r="BQ18" i="5"/>
  <c r="BR19" i="5"/>
  <c r="BQ20" i="5"/>
  <c r="BQ17" i="7"/>
  <c r="BR17" i="7"/>
  <c r="AG17" i="7"/>
  <c r="AR17" i="7"/>
  <c r="BC17" i="7"/>
  <c r="BO17" i="7"/>
  <c r="AA17" i="7"/>
  <c r="AL17" i="7"/>
  <c r="AV17" i="7"/>
  <c r="BI17" i="7"/>
  <c r="AB17" i="21"/>
  <c r="AH17" i="21"/>
  <c r="AM17" i="21"/>
  <c r="AS17" i="21"/>
  <c r="AW17" i="21"/>
  <c r="BD17" i="21"/>
  <c r="BH17" i="21"/>
  <c r="BL17" i="21"/>
  <c r="BR17" i="21"/>
  <c r="AB18" i="21"/>
  <c r="AH18" i="21"/>
  <c r="AM18" i="21"/>
  <c r="AS18" i="21"/>
  <c r="AW18" i="21"/>
  <c r="BD18" i="21"/>
  <c r="Z19" i="21"/>
  <c r="AF19" i="21"/>
  <c r="AJ19" i="21"/>
  <c r="AM19" i="21"/>
  <c r="AS19" i="21"/>
  <c r="AW19" i="21"/>
  <c r="BD19" i="21"/>
  <c r="BJ19" i="21"/>
  <c r="BP19" i="21"/>
  <c r="Y17" i="20"/>
  <c r="AE17" i="20"/>
  <c r="AI17" i="20"/>
  <c r="AN17" i="20"/>
  <c r="AT17" i="20"/>
  <c r="BA17" i="20"/>
  <c r="BG17" i="20"/>
  <c r="BK17" i="20"/>
  <c r="BO17" i="20"/>
  <c r="BQ17" i="20"/>
  <c r="AA18" i="20"/>
  <c r="AG18" i="20"/>
  <c r="AL18" i="20"/>
  <c r="AR18" i="20"/>
  <c r="AT18" i="20"/>
  <c r="BJ18" i="20"/>
  <c r="Y17" i="21"/>
  <c r="AA17" i="21"/>
  <c r="AC17" i="21"/>
  <c r="AG17" i="21"/>
  <c r="AI17" i="21"/>
  <c r="AL17" i="21"/>
  <c r="AN17" i="21"/>
  <c r="AP17" i="21"/>
  <c r="AT17" i="21"/>
  <c r="AV17" i="21"/>
  <c r="BA17" i="21"/>
  <c r="BC17" i="21"/>
  <c r="BE17" i="21"/>
  <c r="BI17" i="21"/>
  <c r="BK17" i="21"/>
  <c r="BO17" i="21"/>
  <c r="BQ17" i="21"/>
  <c r="Y18" i="21"/>
  <c r="AA18" i="21"/>
  <c r="AC18" i="21"/>
  <c r="AG18" i="21"/>
  <c r="AI18" i="21"/>
  <c r="AL18" i="21"/>
  <c r="AN18" i="21"/>
  <c r="AP18" i="21"/>
  <c r="AT18" i="21"/>
  <c r="AV18" i="21"/>
  <c r="BA18" i="21"/>
  <c r="BC18" i="21"/>
  <c r="BE18" i="21"/>
  <c r="BI18" i="21"/>
  <c r="BK18" i="21"/>
  <c r="BO18" i="21"/>
  <c r="BQ18" i="21"/>
  <c r="Y19" i="21"/>
  <c r="AA19" i="21"/>
  <c r="AC19" i="21"/>
  <c r="AG19" i="21"/>
  <c r="AI19" i="21"/>
  <c r="AL19" i="21"/>
  <c r="AN19" i="21"/>
  <c r="AP19" i="21"/>
  <c r="AT19" i="21"/>
  <c r="AV19" i="21"/>
  <c r="BA19" i="21"/>
  <c r="BC19" i="21"/>
  <c r="BE19" i="21"/>
  <c r="BI19" i="21"/>
  <c r="BK19" i="21"/>
  <c r="BO19" i="21"/>
  <c r="BQ19" i="21"/>
  <c r="X17" i="20"/>
  <c r="Z17" i="20"/>
  <c r="AB17" i="20"/>
  <c r="AF17" i="20"/>
  <c r="AH17" i="20"/>
  <c r="AK17" i="20"/>
  <c r="AM17" i="20"/>
  <c r="AO17" i="20"/>
  <c r="AS17" i="20"/>
  <c r="AU17" i="20"/>
  <c r="AZ17" i="20"/>
  <c r="BB17" i="20"/>
  <c r="BD17" i="20"/>
  <c r="BH17" i="20"/>
  <c r="BJ17" i="20"/>
  <c r="BN17" i="20"/>
  <c r="BP17" i="20"/>
  <c r="BQ18" i="20"/>
  <c r="BO18" i="20"/>
  <c r="BK18" i="20"/>
  <c r="BI18" i="20"/>
  <c r="BG18" i="20"/>
  <c r="BC18" i="20"/>
  <c r="BA18" i="20"/>
  <c r="AV18" i="20"/>
  <c r="X18" i="20"/>
  <c r="Z18" i="20"/>
  <c r="AB18" i="20"/>
  <c r="AF18" i="20"/>
  <c r="AH18" i="20"/>
  <c r="AK18" i="20"/>
  <c r="AM18" i="20"/>
  <c r="AO18" i="20"/>
  <c r="AS18" i="20"/>
  <c r="AU18" i="20"/>
  <c r="BB18" i="20"/>
  <c r="BH18" i="20"/>
  <c r="BN18" i="20"/>
  <c r="BR18" i="20"/>
  <c r="BQ19" i="20"/>
  <c r="BO19" i="20"/>
  <c r="BK19" i="20"/>
  <c r="BI19" i="20"/>
  <c r="BG19" i="20"/>
  <c r="BC19" i="20"/>
  <c r="BA19" i="20"/>
  <c r="AV19" i="20"/>
  <c r="AT19" i="20"/>
  <c r="AR19" i="20"/>
  <c r="AN19" i="20"/>
  <c r="AL19" i="20"/>
  <c r="AI19" i="20"/>
  <c r="AG19" i="20"/>
  <c r="AE19" i="20"/>
  <c r="AA19" i="20"/>
  <c r="Y19" i="20"/>
  <c r="Z19" i="20"/>
  <c r="AF19" i="20"/>
  <c r="AK19" i="20"/>
  <c r="AO19" i="20"/>
  <c r="AU19" i="20"/>
  <c r="BB19" i="20"/>
  <c r="BH19" i="20"/>
  <c r="BN19" i="20"/>
  <c r="BR19" i="20"/>
  <c r="BR17" i="17"/>
  <c r="BP17" i="17"/>
  <c r="BL17" i="17"/>
  <c r="BJ17" i="17"/>
  <c r="BH17" i="17"/>
  <c r="BD17" i="17"/>
  <c r="BB17" i="17"/>
  <c r="AW17" i="17"/>
  <c r="AU17" i="17"/>
  <c r="AS17" i="17"/>
  <c r="AO17" i="17"/>
  <c r="AM17" i="17"/>
  <c r="AJ17" i="17"/>
  <c r="AH17" i="17"/>
  <c r="AF17" i="17"/>
  <c r="AB17" i="17"/>
  <c r="Z17" i="17"/>
  <c r="AA17" i="17"/>
  <c r="AG17" i="17"/>
  <c r="AL17" i="17"/>
  <c r="AP17" i="17"/>
  <c r="AV17" i="17"/>
  <c r="BC17" i="17"/>
  <c r="BI17" i="17"/>
  <c r="BO17" i="17"/>
  <c r="BS17" i="17"/>
  <c r="BS18" i="17"/>
  <c r="BQ18" i="17"/>
  <c r="BO18" i="17"/>
  <c r="BK18" i="17"/>
  <c r="BI18" i="17"/>
  <c r="BE18" i="17"/>
  <c r="BC18" i="17"/>
  <c r="BA18" i="17"/>
  <c r="AV18" i="17"/>
  <c r="BR18" i="17"/>
  <c r="BP18" i="17"/>
  <c r="BL18" i="17"/>
  <c r="BJ18" i="17"/>
  <c r="BH18" i="17"/>
  <c r="BD18" i="17"/>
  <c r="BB18" i="17"/>
  <c r="AW18" i="17"/>
  <c r="AU18" i="17"/>
  <c r="AS18" i="17"/>
  <c r="AO18" i="17"/>
  <c r="AM18" i="17"/>
  <c r="AJ18" i="17"/>
  <c r="AH18" i="17"/>
  <c r="AF18" i="17"/>
  <c r="AB18" i="17"/>
  <c r="Z18" i="17"/>
  <c r="AA18" i="17"/>
  <c r="AG18" i="17"/>
  <c r="AL18" i="17"/>
  <c r="AP18" i="17"/>
  <c r="Z17" i="21"/>
  <c r="AF17" i="21"/>
  <c r="AJ17" i="21"/>
  <c r="AO17" i="21"/>
  <c r="AU17" i="21"/>
  <c r="BB17" i="21"/>
  <c r="BJ17" i="21"/>
  <c r="Z18" i="21"/>
  <c r="AF18" i="21"/>
  <c r="AJ18" i="21"/>
  <c r="AO18" i="21"/>
  <c r="AU18" i="21"/>
  <c r="BB18" i="21"/>
  <c r="BH18" i="21"/>
  <c r="BJ18" i="21"/>
  <c r="BL18" i="21"/>
  <c r="BP18" i="21"/>
  <c r="AB19" i="21"/>
  <c r="AH19" i="21"/>
  <c r="AO19" i="21"/>
  <c r="AU19" i="21"/>
  <c r="BB19" i="21"/>
  <c r="BH19" i="21"/>
  <c r="BL19" i="21"/>
  <c r="AA17" i="20"/>
  <c r="AG17" i="20"/>
  <c r="AL17" i="20"/>
  <c r="AR17" i="20"/>
  <c r="AV17" i="20"/>
  <c r="BC17" i="20"/>
  <c r="Y18" i="20"/>
  <c r="AE18" i="20"/>
  <c r="AI18" i="20"/>
  <c r="AN18" i="20"/>
  <c r="AZ18" i="20"/>
  <c r="BD18" i="20"/>
  <c r="AT18" i="17"/>
  <c r="Z19" i="17"/>
  <c r="AB19" i="17"/>
  <c r="AF19" i="17"/>
  <c r="AH19" i="17"/>
  <c r="AJ19" i="17"/>
  <c r="AM19" i="17"/>
  <c r="AO19" i="17"/>
  <c r="AS19" i="17"/>
  <c r="AU19" i="17"/>
  <c r="AW19" i="17"/>
  <c r="BB19" i="17"/>
  <c r="BD19" i="17"/>
  <c r="BH19" i="17"/>
  <c r="BJ19" i="17"/>
  <c r="BL19" i="17"/>
  <c r="BP19" i="17"/>
  <c r="BR19" i="17"/>
  <c r="Z17" i="18"/>
  <c r="AB17" i="18"/>
  <c r="AF17" i="18"/>
  <c r="AH17" i="18"/>
  <c r="AJ17" i="18"/>
  <c r="AM17" i="18"/>
  <c r="AO17" i="18"/>
  <c r="AS17" i="18"/>
  <c r="AU17" i="18"/>
  <c r="AW17" i="18"/>
  <c r="BB17" i="18"/>
  <c r="BD17" i="18"/>
  <c r="BH17" i="18"/>
  <c r="BJ17" i="18"/>
  <c r="BL17" i="18"/>
  <c r="BP17" i="18"/>
  <c r="BR17" i="18"/>
  <c r="Z18" i="18"/>
  <c r="AB18" i="18"/>
  <c r="AF18" i="18"/>
  <c r="AH18" i="18"/>
  <c r="AJ18" i="18"/>
  <c r="AM18" i="18"/>
  <c r="AO18" i="18"/>
  <c r="AS18" i="18"/>
  <c r="AU18" i="18"/>
  <c r="AW18" i="18"/>
  <c r="BB18" i="18"/>
  <c r="BD18" i="18"/>
  <c r="BH18" i="18"/>
  <c r="BJ18" i="18"/>
  <c r="BL18" i="18"/>
  <c r="BP18" i="18"/>
  <c r="BR18" i="18"/>
  <c r="Z19" i="18"/>
  <c r="AB19" i="18"/>
  <c r="AF19" i="18"/>
  <c r="AH19" i="18"/>
  <c r="AJ19" i="18"/>
  <c r="AM19" i="18"/>
  <c r="AO19" i="18"/>
  <c r="AS19" i="18"/>
  <c r="AU19" i="18"/>
  <c r="AW19" i="18"/>
  <c r="BB19" i="18"/>
  <c r="BD19" i="18"/>
  <c r="BH19" i="18"/>
  <c r="BJ19" i="18"/>
  <c r="BL19" i="18"/>
  <c r="BP19" i="18"/>
  <c r="BR19" i="18"/>
  <c r="X17" i="22"/>
  <c r="Z17" i="22"/>
  <c r="AB17" i="22"/>
  <c r="AF17" i="22"/>
  <c r="AH17" i="22"/>
  <c r="AK17" i="22"/>
  <c r="AM17" i="22"/>
  <c r="AO17" i="22"/>
  <c r="AS17" i="22"/>
  <c r="AU17" i="22"/>
  <c r="AZ17" i="22"/>
  <c r="BB17" i="22"/>
  <c r="BD17" i="22"/>
  <c r="BH17" i="22"/>
  <c r="BJ17" i="22"/>
  <c r="BN17" i="22"/>
  <c r="BP17" i="22"/>
  <c r="BR18" i="22"/>
  <c r="BP18" i="22"/>
  <c r="BN18" i="22"/>
  <c r="BJ18" i="22"/>
  <c r="BH18" i="22"/>
  <c r="BD18" i="22"/>
  <c r="BB18" i="22"/>
  <c r="AZ18" i="22"/>
  <c r="AU18" i="22"/>
  <c r="AS18" i="22"/>
  <c r="AO18" i="22"/>
  <c r="AM18" i="22"/>
  <c r="AK18" i="22"/>
  <c r="AH18" i="22"/>
  <c r="AF18" i="22"/>
  <c r="AB18" i="22"/>
  <c r="Z18" i="22"/>
  <c r="X18" i="22"/>
  <c r="AA18" i="22"/>
  <c r="AG18" i="22"/>
  <c r="AL18" i="22"/>
  <c r="AR18" i="22"/>
  <c r="AV18" i="22"/>
  <c r="BC18" i="22"/>
  <c r="BI18" i="22"/>
  <c r="BO18" i="22"/>
  <c r="Y17" i="7"/>
  <c r="AE17" i="7"/>
  <c r="AI17" i="7"/>
  <c r="AN17" i="7"/>
  <c r="AT17" i="7"/>
  <c r="BA17" i="7"/>
  <c r="BG17" i="7"/>
  <c r="BK17" i="7"/>
  <c r="Y19" i="17"/>
  <c r="AA19" i="17"/>
  <c r="AC19" i="17"/>
  <c r="AG19" i="17"/>
  <c r="AI19" i="17"/>
  <c r="AL19" i="17"/>
  <c r="AN19" i="17"/>
  <c r="AP19" i="17"/>
  <c r="AT19" i="17"/>
  <c r="AV19" i="17"/>
  <c r="BA19" i="17"/>
  <c r="BC19" i="17"/>
  <c r="BE19" i="17"/>
  <c r="BI19" i="17"/>
  <c r="BK19" i="17"/>
  <c r="BO19" i="17"/>
  <c r="BQ19" i="17"/>
  <c r="Y17" i="18"/>
  <c r="AA17" i="18"/>
  <c r="AC17" i="18"/>
  <c r="AG17" i="18"/>
  <c r="AI17" i="18"/>
  <c r="AL17" i="18"/>
  <c r="AN17" i="18"/>
  <c r="AP17" i="18"/>
  <c r="AT17" i="18"/>
  <c r="AV17" i="18"/>
  <c r="BA17" i="18"/>
  <c r="BC17" i="18"/>
  <c r="BE17" i="18"/>
  <c r="BI17" i="18"/>
  <c r="BK17" i="18"/>
  <c r="BO17" i="18"/>
  <c r="BQ17" i="18"/>
  <c r="Y18" i="18"/>
  <c r="AA18" i="18"/>
  <c r="AC18" i="18"/>
  <c r="AG18" i="18"/>
  <c r="AI18" i="18"/>
  <c r="AL18" i="18"/>
  <c r="AN18" i="18"/>
  <c r="AP18" i="18"/>
  <c r="AT18" i="18"/>
  <c r="AV18" i="18"/>
  <c r="BA18" i="18"/>
  <c r="BC18" i="18"/>
  <c r="BE18" i="18"/>
  <c r="BI18" i="18"/>
  <c r="BK18" i="18"/>
  <c r="BO18" i="18"/>
  <c r="BQ18" i="18"/>
  <c r="Y19" i="18"/>
  <c r="AA19" i="18"/>
  <c r="AC19" i="18"/>
  <c r="AG19" i="18"/>
  <c r="AI19" i="18"/>
  <c r="AL19" i="18"/>
  <c r="AN19" i="18"/>
  <c r="AP19" i="18"/>
  <c r="AT19" i="18"/>
  <c r="AV19" i="18"/>
  <c r="BA19" i="18"/>
  <c r="BC19" i="18"/>
  <c r="BE19" i="18"/>
  <c r="BI19" i="18"/>
  <c r="BK19" i="18"/>
  <c r="BO19" i="18"/>
  <c r="BQ19" i="18"/>
  <c r="Y17" i="22"/>
  <c r="AA17" i="22"/>
  <c r="AE17" i="22"/>
  <c r="AG17" i="22"/>
  <c r="AI17" i="22"/>
  <c r="AL17" i="22"/>
  <c r="AN17" i="22"/>
  <c r="AR17" i="22"/>
  <c r="AT17" i="22"/>
  <c r="AV17" i="22"/>
  <c r="BA17" i="22"/>
  <c r="BC17" i="22"/>
  <c r="BG17" i="22"/>
  <c r="BI17" i="22"/>
  <c r="BK17" i="22"/>
  <c r="BO17" i="22"/>
  <c r="Y18" i="22"/>
  <c r="AE18" i="22"/>
  <c r="AI18" i="22"/>
  <c r="AN18" i="22"/>
  <c r="AT18" i="22"/>
  <c r="BA18" i="22"/>
  <c r="BG18" i="22"/>
  <c r="BK18" i="22"/>
  <c r="X17" i="7"/>
  <c r="Z17" i="7"/>
  <c r="AB17" i="7"/>
  <c r="AF17" i="7"/>
  <c r="AH17" i="7"/>
  <c r="AK17" i="7"/>
  <c r="AM17" i="7"/>
  <c r="AO17" i="7"/>
  <c r="AS17" i="7"/>
  <c r="AU17" i="7"/>
  <c r="AZ17" i="7"/>
  <c r="BB17" i="7"/>
  <c r="BD17" i="7"/>
  <c r="BH17" i="7"/>
  <c r="BJ17" i="7"/>
  <c r="BN17" i="7"/>
  <c r="BP17" i="7"/>
  <c r="X17" i="5"/>
  <c r="Z17" i="5"/>
  <c r="AB17" i="5"/>
  <c r="AF17" i="5"/>
  <c r="AH17" i="5"/>
  <c r="AK17" i="5"/>
  <c r="AM17" i="5"/>
  <c r="AO17" i="5"/>
  <c r="AS17" i="5"/>
  <c r="AU17" i="5"/>
  <c r="AZ17" i="5"/>
  <c r="BB17" i="5"/>
  <c r="BD17" i="5"/>
  <c r="BH17" i="5"/>
  <c r="BJ17" i="5"/>
  <c r="BN17" i="5"/>
  <c r="BP17" i="5"/>
  <c r="X18" i="5"/>
  <c r="Z18" i="5"/>
  <c r="AB18" i="5"/>
  <c r="AF18" i="5"/>
  <c r="AH18" i="5"/>
  <c r="AK18" i="5"/>
  <c r="AM18" i="5"/>
  <c r="AO18" i="5"/>
  <c r="AS18" i="5"/>
  <c r="AU18" i="5"/>
  <c r="AZ18" i="5"/>
  <c r="BB18" i="5"/>
  <c r="BD18" i="5"/>
  <c r="BH18" i="5"/>
  <c r="BJ18" i="5"/>
  <c r="BN18" i="5"/>
  <c r="BP18" i="5"/>
  <c r="X19" i="5"/>
  <c r="Z19" i="5"/>
  <c r="AB19" i="5"/>
  <c r="AF19" i="5"/>
  <c r="AH19" i="5"/>
  <c r="AK19" i="5"/>
  <c r="AM19" i="5"/>
  <c r="AO19" i="5"/>
  <c r="AS19" i="5"/>
  <c r="AU19" i="5"/>
  <c r="AZ19" i="5"/>
  <c r="BB19" i="5"/>
  <c r="BD19" i="5"/>
  <c r="BH19" i="5"/>
  <c r="BJ19" i="5"/>
  <c r="BN19" i="5"/>
  <c r="BP19" i="5"/>
  <c r="X20" i="5"/>
  <c r="Z20" i="5"/>
  <c r="AB20" i="5"/>
  <c r="AF20" i="5"/>
  <c r="AH20" i="5"/>
  <c r="AK20" i="5"/>
  <c r="AM20" i="5"/>
  <c r="AO20" i="5"/>
  <c r="AS20" i="5"/>
  <c r="AU20" i="5"/>
  <c r="AZ20" i="5"/>
  <c r="BB20" i="5"/>
  <c r="BD20" i="5"/>
  <c r="BH20" i="5"/>
  <c r="BJ20" i="5"/>
  <c r="BN20" i="5"/>
  <c r="BP20" i="5"/>
  <c r="X17" i="13"/>
  <c r="Z17" i="13"/>
  <c r="AB17" i="13"/>
  <c r="AF17" i="13"/>
  <c r="AH17" i="13"/>
  <c r="AK17" i="13"/>
  <c r="AM17" i="13"/>
  <c r="AO17" i="13"/>
  <c r="AS17" i="13"/>
  <c r="AU17" i="13"/>
  <c r="AZ17" i="13"/>
  <c r="BB17" i="13"/>
  <c r="BD17" i="13"/>
  <c r="BH17" i="13"/>
  <c r="BJ17" i="13"/>
  <c r="BN17" i="13"/>
  <c r="BP17" i="13"/>
  <c r="X18" i="13"/>
  <c r="Z18" i="13"/>
  <c r="AB18" i="13"/>
  <c r="AF18" i="13"/>
  <c r="AH18" i="13"/>
  <c r="AK18" i="13"/>
  <c r="AM18" i="13"/>
  <c r="AO18" i="13"/>
  <c r="AS18" i="13"/>
  <c r="AU18" i="13"/>
  <c r="AZ18" i="13"/>
  <c r="BB18" i="13"/>
  <c r="BD18" i="13"/>
  <c r="BH18" i="13"/>
  <c r="BJ18" i="13"/>
  <c r="BN18" i="13"/>
  <c r="BP18" i="13"/>
  <c r="BQ19" i="13"/>
  <c r="BO19" i="13"/>
  <c r="BK19" i="13"/>
  <c r="X19" i="13"/>
  <c r="Z19" i="13"/>
  <c r="AB19" i="13"/>
  <c r="AF19" i="13"/>
  <c r="AH19" i="13"/>
  <c r="AK19" i="13"/>
  <c r="AM19" i="13"/>
  <c r="AO19" i="13"/>
  <c r="AS19" i="13"/>
  <c r="AU19" i="13"/>
  <c r="AZ19" i="13"/>
  <c r="BB19" i="13"/>
  <c r="BD19" i="13"/>
  <c r="BH19" i="13"/>
  <c r="BJ19" i="13"/>
  <c r="BP19" i="13"/>
  <c r="Y17" i="5"/>
  <c r="AA17" i="5"/>
  <c r="AE17" i="5"/>
  <c r="AG17" i="5"/>
  <c r="AI17" i="5"/>
  <c r="AL17" i="5"/>
  <c r="AN17" i="5"/>
  <c r="AR17" i="5"/>
  <c r="AT17" i="5"/>
  <c r="AV17" i="5"/>
  <c r="BA17" i="5"/>
  <c r="BC17" i="5"/>
  <c r="BG17" i="5"/>
  <c r="BI17" i="5"/>
  <c r="BK17" i="5"/>
  <c r="BO17" i="5"/>
  <c r="Y18" i="5"/>
  <c r="AA18" i="5"/>
  <c r="AE18" i="5"/>
  <c r="AG18" i="5"/>
  <c r="AI18" i="5"/>
  <c r="AL18" i="5"/>
  <c r="AN18" i="5"/>
  <c r="AR18" i="5"/>
  <c r="AT18" i="5"/>
  <c r="AV18" i="5"/>
  <c r="BA18" i="5"/>
  <c r="BC18" i="5"/>
  <c r="BG18" i="5"/>
  <c r="BI18" i="5"/>
  <c r="BK18" i="5"/>
  <c r="BO18" i="5"/>
  <c r="Y19" i="5"/>
  <c r="AA19" i="5"/>
  <c r="AE19" i="5"/>
  <c r="AG19" i="5"/>
  <c r="AI19" i="5"/>
  <c r="AL19" i="5"/>
  <c r="AN19" i="5"/>
  <c r="AR19" i="5"/>
  <c r="AT19" i="5"/>
  <c r="AV19" i="5"/>
  <c r="BA19" i="5"/>
  <c r="BC19" i="5"/>
  <c r="BG19" i="5"/>
  <c r="BI19" i="5"/>
  <c r="BK19" i="5"/>
  <c r="BO19" i="5"/>
  <c r="Y20" i="5"/>
  <c r="AA20" i="5"/>
  <c r="AE20" i="5"/>
  <c r="AG20" i="5"/>
  <c r="AI20" i="5"/>
  <c r="AL20" i="5"/>
  <c r="AN20" i="5"/>
  <c r="AR20" i="5"/>
  <c r="AT20" i="5"/>
  <c r="AV20" i="5"/>
  <c r="BA20" i="5"/>
  <c r="BC20" i="5"/>
  <c r="BG20" i="5"/>
  <c r="BI20" i="5"/>
  <c r="BK20" i="5"/>
  <c r="BO20" i="5"/>
  <c r="Y17" i="13"/>
  <c r="AA17" i="13"/>
  <c r="AE17" i="13"/>
  <c r="AG17" i="13"/>
  <c r="AI17" i="13"/>
  <c r="AL17" i="13"/>
  <c r="AN17" i="13"/>
  <c r="AR17" i="13"/>
  <c r="AT17" i="13"/>
  <c r="AV17" i="13"/>
  <c r="BA17" i="13"/>
  <c r="BC17" i="13"/>
  <c r="BG17" i="13"/>
  <c r="BI17" i="13"/>
  <c r="BK17" i="13"/>
  <c r="BO17" i="13"/>
  <c r="Y18" i="13"/>
  <c r="AA18" i="13"/>
  <c r="AE18" i="13"/>
  <c r="AG18" i="13"/>
  <c r="AI18" i="13"/>
  <c r="AL18" i="13"/>
  <c r="AN18" i="13"/>
  <c r="AR18" i="13"/>
  <c r="AT18" i="13"/>
  <c r="AV18" i="13"/>
  <c r="BA18" i="13"/>
  <c r="BC18" i="13"/>
  <c r="BG18" i="13"/>
  <c r="BI18" i="13"/>
  <c r="BK18" i="13"/>
  <c r="BO18" i="13"/>
  <c r="Y19" i="13"/>
  <c r="AA19" i="13"/>
  <c r="AE19" i="13"/>
  <c r="AG19" i="13"/>
  <c r="AI19" i="13"/>
  <c r="AL19" i="13"/>
  <c r="AN19" i="13"/>
  <c r="AR19" i="13"/>
  <c r="AT19" i="13"/>
  <c r="AV19" i="13"/>
  <c r="BA19" i="13"/>
  <c r="BC19" i="13"/>
  <c r="BG19" i="13"/>
  <c r="BI19" i="13"/>
  <c r="BN19" i="13"/>
  <c r="W18" i="8"/>
  <c r="Y18" i="8"/>
  <c r="AA18" i="8"/>
  <c r="AE18" i="8"/>
  <c r="AG18" i="8"/>
  <c r="AJ18" i="8"/>
  <c r="AL18" i="8"/>
  <c r="AN18" i="8"/>
  <c r="AR18" i="8"/>
  <c r="AT18" i="8"/>
  <c r="AY18" i="8"/>
  <c r="BA18" i="8"/>
  <c r="BC18" i="8"/>
  <c r="BG18" i="8"/>
  <c r="BI18" i="8"/>
  <c r="BM18" i="8"/>
  <c r="BO18" i="8"/>
  <c r="BQ18" i="8"/>
  <c r="Y17" i="9"/>
  <c r="AA17" i="9"/>
  <c r="AE17" i="9"/>
  <c r="AG17" i="9"/>
  <c r="AI17" i="9"/>
  <c r="AL17" i="9"/>
  <c r="AN17" i="9"/>
  <c r="AR17" i="9"/>
  <c r="AT17" i="9"/>
  <c r="AV17" i="9"/>
  <c r="BA17" i="9"/>
  <c r="BC17" i="9"/>
  <c r="BG17" i="9"/>
  <c r="BI17" i="9"/>
  <c r="BK17" i="9"/>
  <c r="BO17" i="9"/>
  <c r="Y18" i="9"/>
  <c r="AA18" i="9"/>
  <c r="AE18" i="9"/>
  <c r="AG18" i="9"/>
  <c r="AI18" i="9"/>
  <c r="AL18" i="9"/>
  <c r="AN18" i="9"/>
  <c r="AR18" i="9"/>
  <c r="AT18" i="9"/>
  <c r="AV18" i="9"/>
  <c r="BA18" i="9"/>
  <c r="BC18" i="9"/>
  <c r="BG18" i="9"/>
  <c r="BI18" i="9"/>
  <c r="BK18" i="9"/>
  <c r="BO18" i="9"/>
  <c r="Y19" i="9"/>
  <c r="AA19" i="9"/>
  <c r="AE19" i="9"/>
  <c r="AG19" i="9"/>
  <c r="AI19" i="9"/>
  <c r="AL19" i="9"/>
  <c r="AN19" i="9"/>
  <c r="AR19" i="9"/>
  <c r="AV19" i="9"/>
  <c r="BC19" i="9"/>
  <c r="BI19" i="9"/>
  <c r="Y17" i="12"/>
  <c r="AE17" i="12"/>
  <c r="AI17" i="12"/>
  <c r="AN17" i="12"/>
  <c r="AT17" i="12"/>
  <c r="BA17" i="12"/>
  <c r="BG17" i="12"/>
  <c r="BK17" i="12"/>
  <c r="BR18" i="12"/>
  <c r="AA18" i="12"/>
  <c r="AG18" i="12"/>
  <c r="AL18" i="12"/>
  <c r="AR18" i="12"/>
  <c r="AV18" i="12"/>
  <c r="BC18" i="12"/>
  <c r="BI18" i="12"/>
  <c r="BO18" i="12"/>
  <c r="Y19" i="12"/>
  <c r="AE19" i="12"/>
  <c r="AI19" i="12"/>
  <c r="AN19" i="12"/>
  <c r="AT19" i="12"/>
  <c r="BA19" i="12"/>
  <c r="BG19" i="12"/>
  <c r="BK19" i="12"/>
  <c r="X18" i="8"/>
  <c r="Z18" i="8"/>
  <c r="AD18" i="8"/>
  <c r="AF18" i="8"/>
  <c r="AH18" i="8"/>
  <c r="AK18" i="8"/>
  <c r="AM18" i="8"/>
  <c r="AQ18" i="8"/>
  <c r="AS18" i="8"/>
  <c r="AU18" i="8"/>
  <c r="AZ18" i="8"/>
  <c r="BB18" i="8"/>
  <c r="BF18" i="8"/>
  <c r="BH18" i="8"/>
  <c r="BJ18" i="8"/>
  <c r="BN18" i="8"/>
  <c r="X17" i="9"/>
  <c r="Z17" i="9"/>
  <c r="AB17" i="9"/>
  <c r="AF17" i="9"/>
  <c r="AH17" i="9"/>
  <c r="AK17" i="9"/>
  <c r="AM17" i="9"/>
  <c r="AO17" i="9"/>
  <c r="AS17" i="9"/>
  <c r="AU17" i="9"/>
  <c r="AZ17" i="9"/>
  <c r="BB17" i="9"/>
  <c r="BD17" i="9"/>
  <c r="BH17" i="9"/>
  <c r="BJ17" i="9"/>
  <c r="BN17" i="9"/>
  <c r="BP17" i="9"/>
  <c r="X18" i="9"/>
  <c r="Z18" i="9"/>
  <c r="AB18" i="9"/>
  <c r="AF18" i="9"/>
  <c r="AH18" i="9"/>
  <c r="AK18" i="9"/>
  <c r="AM18" i="9"/>
  <c r="AO18" i="9"/>
  <c r="AS18" i="9"/>
  <c r="AU18" i="9"/>
  <c r="AZ18" i="9"/>
  <c r="BB18" i="9"/>
  <c r="BD18" i="9"/>
  <c r="BH18" i="9"/>
  <c r="BJ18" i="9"/>
  <c r="BN18" i="9"/>
  <c r="BP18" i="9"/>
  <c r="BR19" i="9"/>
  <c r="BP19" i="9"/>
  <c r="BN19" i="9"/>
  <c r="BJ19" i="9"/>
  <c r="BH19" i="9"/>
  <c r="BD19" i="9"/>
  <c r="BB19" i="9"/>
  <c r="AZ19" i="9"/>
  <c r="AU19" i="9"/>
  <c r="AS19" i="9"/>
  <c r="X19" i="9"/>
  <c r="Z19" i="9"/>
  <c r="AB19" i="9"/>
  <c r="AF19" i="9"/>
  <c r="AH19" i="9"/>
  <c r="AK19" i="9"/>
  <c r="AM19" i="9"/>
  <c r="AO19" i="9"/>
  <c r="AT19" i="9"/>
  <c r="BA19" i="9"/>
  <c r="BG19" i="9"/>
  <c r="BK19" i="9"/>
  <c r="BQ19" i="9"/>
  <c r="Y18" i="12"/>
  <c r="AE18" i="12"/>
  <c r="AI18" i="12"/>
  <c r="AN18" i="12"/>
  <c r="AT18" i="12"/>
  <c r="BA18" i="12"/>
  <c r="BG18" i="12"/>
  <c r="BK18" i="12"/>
  <c r="X17" i="12"/>
  <c r="Z17" i="12"/>
  <c r="AB17" i="12"/>
  <c r="AF17" i="12"/>
  <c r="AH17" i="12"/>
  <c r="AK17" i="12"/>
  <c r="AM17" i="12"/>
  <c r="AO17" i="12"/>
  <c r="AS17" i="12"/>
  <c r="AU17" i="12"/>
  <c r="AZ17" i="12"/>
  <c r="BB17" i="12"/>
  <c r="BD17" i="12"/>
  <c r="BH17" i="12"/>
  <c r="BJ17" i="12"/>
  <c r="BN17" i="12"/>
  <c r="BP17" i="12"/>
  <c r="X18" i="12"/>
  <c r="Z18" i="12"/>
  <c r="AB18" i="12"/>
  <c r="AF18" i="12"/>
  <c r="AH18" i="12"/>
  <c r="AK18" i="12"/>
  <c r="AM18" i="12"/>
  <c r="AO18" i="12"/>
  <c r="AS18" i="12"/>
  <c r="AU18" i="12"/>
  <c r="AZ18" i="12"/>
  <c r="BB18" i="12"/>
  <c r="BD18" i="12"/>
  <c r="BH18" i="12"/>
  <c r="BJ18" i="12"/>
  <c r="BN18" i="12"/>
  <c r="BP18" i="12"/>
  <c r="X19" i="12"/>
  <c r="Z19" i="12"/>
  <c r="AB19" i="12"/>
  <c r="AF19" i="12"/>
  <c r="AH19" i="12"/>
  <c r="AK19" i="12"/>
  <c r="AM19" i="12"/>
  <c r="AO19" i="12"/>
  <c r="AS19" i="12"/>
  <c r="AU19" i="12"/>
  <c r="AZ19" i="12"/>
  <c r="BB19" i="12"/>
  <c r="BD19" i="12"/>
  <c r="BH19" i="12"/>
  <c r="BJ19" i="12"/>
  <c r="BN19" i="12"/>
  <c r="BP19" i="12"/>
  <c r="Y18" i="16"/>
  <c r="AA18" i="16"/>
  <c r="AE18" i="16"/>
  <c r="AG18" i="16"/>
  <c r="AI18" i="16"/>
  <c r="AL18" i="16"/>
  <c r="AN18" i="16"/>
  <c r="AR18" i="16"/>
  <c r="AT18" i="16"/>
  <c r="AV18" i="16"/>
  <c r="BA18" i="16"/>
  <c r="BC18" i="16"/>
  <c r="BG18" i="16"/>
  <c r="BI18" i="16"/>
  <c r="BK18" i="16"/>
  <c r="BO18" i="16"/>
  <c r="J19" i="20" l="1"/>
  <c r="J18" i="12"/>
  <c r="N18" i="12"/>
  <c r="J19" i="18"/>
  <c r="O19" i="18"/>
  <c r="N19" i="20"/>
  <c r="J17" i="21"/>
  <c r="J19" i="12"/>
  <c r="N19" i="12"/>
  <c r="J18" i="18"/>
  <c r="J19" i="17"/>
</calcChain>
</file>

<file path=xl/sharedStrings.xml><?xml version="1.0" encoding="utf-8"?>
<sst xmlns="http://schemas.openxmlformats.org/spreadsheetml/2006/main" count="2512" uniqueCount="646">
  <si>
    <t>MAPA DE RIESGOS</t>
  </si>
  <si>
    <t>Codigo:E-PI-F006</t>
  </si>
  <si>
    <t>Pagina: 1 de 1</t>
  </si>
  <si>
    <t>PROCESO:</t>
  </si>
  <si>
    <t xml:space="preserve">OBJETIVO </t>
  </si>
  <si>
    <t>RESPONSABLE</t>
  </si>
  <si>
    <t>FECHA DE ACTUALIZACIÒN:</t>
  </si>
  <si>
    <t>Prob</t>
  </si>
  <si>
    <t>Imp</t>
  </si>
  <si>
    <t>probabilidad</t>
  </si>
  <si>
    <t>IMPACTO</t>
  </si>
  <si>
    <t>IDENTIFICACIÓN DEL RIESGO</t>
  </si>
  <si>
    <t>ANÁLISIS DEL RIESGO</t>
  </si>
  <si>
    <t xml:space="preserve">CONTROLES </t>
  </si>
  <si>
    <t>VALORACIÓN DEL RIESGO</t>
  </si>
  <si>
    <t>TRATAMIENTO</t>
  </si>
  <si>
    <t>MONITOREO Y REVISIÓN</t>
  </si>
  <si>
    <t>CAUSA</t>
  </si>
  <si>
    <t>RIESGO</t>
  </si>
  <si>
    <t>CONSECUENCIA</t>
  </si>
  <si>
    <t>RIESGO INHERENTE</t>
  </si>
  <si>
    <t>RIESGO RESIDUAL</t>
  </si>
  <si>
    <t>ACCIONES ASOCIADAS AL CONTROL</t>
  </si>
  <si>
    <t>FECHA</t>
  </si>
  <si>
    <t>ACCIONES</t>
  </si>
  <si>
    <t>INDICADOR</t>
  </si>
  <si>
    <t>PROBABILIDAD</t>
  </si>
  <si>
    <t>ZONA DE RIESGO</t>
  </si>
  <si>
    <t>PERIODO DE EJECUCIÓN</t>
  </si>
  <si>
    <t>REGISTRO</t>
  </si>
  <si>
    <t>Mensual</t>
  </si>
  <si>
    <t>&gt;75</t>
  </si>
  <si>
    <t>&gt;50 &lt;76</t>
  </si>
  <si>
    <t>&lt;50</t>
  </si>
  <si>
    <t>Procedimiento para la gestión de audiencias públicas (Código: E-GC-P004).   
Estrategia de Rendición de Cuentas.</t>
  </si>
  <si>
    <t>Enero a diciembre de cada vigencia</t>
  </si>
  <si>
    <t xml:space="preserve">Reuniones para hacer seguimiento al precedimiento de rendicion de cuentas.   
Audiencia publica de rendicion de cuentas.      
Seguimiento al cronograma de la Implemetacion de la Estrategia de Rendicion de Cuentas.   </t>
  </si>
  <si>
    <t xml:space="preserve">Actas 
Evidencias de la audiencia publica de rendicion de cuentas.
</t>
  </si>
  <si>
    <t>Procedimiento de Comunicación interna y externa del IDEAM (Código: E-GC-P001).      
Política de Comunicaiones.</t>
  </si>
  <si>
    <t>Bimensual</t>
  </si>
  <si>
    <t>Reporte de noticias publicadas en la web del instituto.
Reporte de noticas publicadas en la Intranet del instituto.</t>
  </si>
  <si>
    <t xml:space="preserve">Noticias publicadas en la WEB del IDEAM, en el link Noticias y sala de presa.
Noticias publicadas en la Intranet del IDEAM, en el link noticias y sala de prensa. </t>
  </si>
  <si>
    <t>* FUENTE: GUIA DE PARA LA ADMINISTRACION DEL RIESGO DEL DAFP 4 EDICION SEPTIEMBRE DE 2011</t>
  </si>
  <si>
    <t>MODERADO (5)</t>
  </si>
  <si>
    <t>MAYOR (10)</t>
  </si>
  <si>
    <t>CATASTRÓFICO (20)</t>
  </si>
  <si>
    <t>* FUENTE GUÍA PARA LA GESTIÓN DEL RIESGO DE CORRUPCIÓN 2015 Secretaría de Transparencia de la Presidencia de la República</t>
  </si>
  <si>
    <t xml:space="preserve"> RARA VEZ (1)</t>
  </si>
  <si>
    <t>B</t>
  </si>
  <si>
    <t>M</t>
  </si>
  <si>
    <t>IMPROBABLE (2)</t>
  </si>
  <si>
    <t>A</t>
  </si>
  <si>
    <t>POSIBLE (3)</t>
  </si>
  <si>
    <t>E</t>
  </si>
  <si>
    <t>PROBABLE (4)</t>
  </si>
  <si>
    <t>CASI SEGURO (5)</t>
  </si>
  <si>
    <t>B: Zona de riesgo baja: Asumir el riesgo</t>
  </si>
  <si>
    <t>M: Zona de riesgo moderada: Asumir el riesgo, reducir el riesgo</t>
  </si>
  <si>
    <t>A: Zona de riesgo Alta: Reducir el riesgo, evitar, compartir o transferir</t>
  </si>
  <si>
    <t>E: Zona de riesgo extrema: Reducir el riesgo, evitar, compartir o transferir</t>
  </si>
  <si>
    <t xml:space="preserve"> Coordinadores Grupo Financiero (Presupuesto, Contabilidad y Tesorería)</t>
  </si>
  <si>
    <t>trimestral</t>
  </si>
  <si>
    <t>sirem</t>
  </si>
  <si>
    <t>correos y orfeo solicitando las campañas y boletines
boletin anticorrupcion</t>
  </si>
  <si>
    <t>siif nacion II
cuadro en excel de amortizacion de anticipos</t>
  </si>
  <si>
    <t>Jefe Oficina Asesora Jurídica</t>
  </si>
  <si>
    <t xml:space="preserve"> Jefe de Oficina de Informática</t>
  </si>
  <si>
    <t>X</t>
  </si>
  <si>
    <t>DURANTE LA VIGENCIA</t>
  </si>
  <si>
    <t>COMUNCIONES ESCRITAS (SISTEMA ORFEO Y ZIMBRA)</t>
  </si>
  <si>
    <t>TRIMESTRAL</t>
  </si>
  <si>
    <t>Coordinadora Grupo de Administración y Desarrollo del Talento Humano.</t>
  </si>
  <si>
    <t>Coordinadora Grupo Control Disciplinario Interno</t>
  </si>
  <si>
    <t>Coordinador Grupo de Atención al ciudadano</t>
  </si>
  <si>
    <t>Informacion  aplicativo SIIF Nacion 
Informacion  Presupuestal actualizada bases de datos .</t>
  </si>
  <si>
    <t xml:space="preserve">Mensual </t>
  </si>
  <si>
    <t xml:space="preserve">Informes de Ejecucion  presupuestal. </t>
  </si>
  <si>
    <t>Jefe Oficina de Control Interno</t>
  </si>
  <si>
    <t>Subdirectores</t>
  </si>
  <si>
    <t>Aplicativo Orfeo
Formato PQRS
Procedimientos documentados
Resolución uso ORFEO
Resolcuión tiempos de respuesta</t>
  </si>
  <si>
    <t xml:space="preserve">Durante la vigencia </t>
  </si>
  <si>
    <t xml:space="preserve">Actualizar procedimientos.
Incluir procedimientos en el SGI. </t>
  </si>
  <si>
    <t>Procedimientos actualizados. 
Procedimientos cargados en el SGI.</t>
  </si>
  <si>
    <t>Durante la vigencia</t>
  </si>
  <si>
    <t>Jefe de la Oficina Asesora de Planeación</t>
  </si>
  <si>
    <t xml:space="preserve">Monitoreo de las redes sociales.
                                                                      Cambio periodico de claves.                                                          
Politica de Comunicaciones del IDEAM.
Monitoreo de medios de comunicación. </t>
  </si>
  <si>
    <t xml:space="preserve">Monitorear diariamente el Twitter y el Facebook de la Entidad, interactuando con los usuarios, con el fin de fortalecer los canales de comunicación directos. 
Seguimiento a los reportes oficiales de las noticias del IDEAM que fueron emitidas en todo el País, a través de diferentes canales de comunicación como radio, prensa, televisión, redes sociales y Web.
Cambio mensual de las claves de acceso a los diferentes canales de comunicación del Instituto. 
Gestionar y realizar capacitaciones de anticorrupción enfocadas en la etica y el debido direccionamiento de la informacion noticiosa y tecnicocientifica que emite el Instituto.  </t>
  </si>
  <si>
    <t>Coordinador Grupo Documentación, Archivo y Correspondencia</t>
  </si>
  <si>
    <t>A-GD-I001 INSTRUCTIVO CREACION DE USUARIOS Y TERCEROS
A-GD-I002 INSTRUCTIVO ELABORACION Y MODIFICACION TRD
A-GD-M001 PROGRAMA DE GESTIÓN DOCUMENTAL
A-GD-P001 PROCEDIMIENTO ADMINISTRACION ARCHIVO CENTRAL
A-GD-P002 PROCEDIMIENTO DIGITALIZACION DOCUMENTOS.
A-GD-P004 PROCEDIMIENTO ORGANIZACION FISICA DOCUMENTOS RADICADOS.
A-GD-P005 PROCEDIMIENTO PRESTAMO DE DOCUMENTOS
A-GD-P006 PROCEDIMIENTO RECEPCION, RADICACION Y ENVIO CORRESPONDENCIA INTERNA Y EXTERNA</t>
  </si>
  <si>
    <t xml:space="preserve">Desconocimiento de la Ley Disciplinaria.                                         Posible interes indebido en la desición  disciplinaria   </t>
  </si>
  <si>
    <t>Nulidades, Investigaciones disciplinarias , denuncias penales, reacusaciones.</t>
  </si>
  <si>
    <t>Condenas penales a los servidores involucrados.       Sanciones disciplinarias a los servidores involucrados.             Reacusación del funcionario que profiere o sustancia la decisión.   Resignación del expediente. Perdida de credibilidad del Dspacho.  Intervención de los organos de control.</t>
  </si>
  <si>
    <t>27-01-2017</t>
  </si>
  <si>
    <t>Gestión de Servicios Administrativos</t>
  </si>
  <si>
    <t>Coordinador del Grupo Servicios Administrativos</t>
  </si>
  <si>
    <t xml:space="preserve"> </t>
  </si>
  <si>
    <t>DESCRIPCION</t>
  </si>
  <si>
    <t>TIPO DE RIESGO</t>
  </si>
  <si>
    <t>TIPO DE CONTROL</t>
  </si>
  <si>
    <t>CONTROLES</t>
  </si>
  <si>
    <t>OPCIONES DE MANEJO</t>
  </si>
  <si>
    <t>TIPÒ DE CONTROL</t>
  </si>
  <si>
    <t>*Falta de disponibilidad de personal al interior del área.
*Personal insuficiente para atender requerimientos de tecnologías y/o software
*Falta de capacitación especializada del personal.
*No contar con condiciones técnicas,  administrativas y financieras necesarias. 
* Sistemas de información realizados sin seguir los procedimientosetablecidos en la Oficina de Informática.</t>
  </si>
  <si>
    <t xml:space="preserve">
Ineficiente mantenimiento y soporte técnico a la plataforma tecnológica del IDEAM (Infraestructura, Sistemas de  Información)</t>
  </si>
  <si>
    <t xml:space="preserve">
Inoportunidad y/o inadecuada atención y apoyo a los requerimientos de mantenimiento y soporte de TI.</t>
  </si>
  <si>
    <t xml:space="preserve">*Multas y/o sanciones generadas por el incumpliento de normas, polìticas y/o regulaciones relacionadas con los recursos informáticos.
*No disponibilidad de los sistemas y/o servicios de información.
*Perdida de imagen y credibilidad del Instituto.
*Falta de credibilidad, y confianza en cuanto al apoyo del área. </t>
  </si>
  <si>
    <t>RIESGO DE GESTIÓN</t>
  </si>
  <si>
    <t>Posible</t>
  </si>
  <si>
    <t>Mayor</t>
  </si>
  <si>
    <t>Servicios de mantenimiento de Infraestructura (UPS, aire acondicionado, servidores, antivirus, componentes de red, sistemas satelitales, servicios de comunicaciones).
*Mantenimiento evolutivo de sistemas de información.
*Seguir y cumplir los procedimientos establecidos.</t>
  </si>
  <si>
    <t>REDUCIR</t>
  </si>
  <si>
    <r>
      <rPr>
        <strike/>
        <sz val="10"/>
        <rFont val="Arial"/>
        <family val="2"/>
      </rPr>
      <t xml:space="preserve">
</t>
    </r>
    <r>
      <rPr>
        <sz val="10"/>
        <rFont val="Arial"/>
        <family val="2"/>
      </rPr>
      <t>* Garantizar la  continuidad de la operación mediante el data center alterno
*Procurar la disponibilidad de recursos humano, financiero y técnico para realizar el mantenimiento evolutivo de los sistemas de información y mantenimiento preventivo y correctivo de infraestructura.
*Mantener actualizado el catálogo de servicios ofrecido por la OI.
*Fortalecer competencias a través de capacitación de los funcionarios de la OI</t>
    </r>
  </si>
  <si>
    <t>oficina de Informatica</t>
  </si>
  <si>
    <t>Porcentaje de la Infraestructura informática del IDEAM operando adecuadamente 99%</t>
  </si>
  <si>
    <t>Probable</t>
  </si>
  <si>
    <t>BIMESTRAL</t>
  </si>
  <si>
    <t>Profesional Universitario</t>
  </si>
  <si>
    <t>Moderado</t>
  </si>
  <si>
    <t>EVITAR</t>
  </si>
  <si>
    <t>RIESGO DE CORRUPCIÓN</t>
  </si>
  <si>
    <t>MENSUAL</t>
  </si>
  <si>
    <t>Rara Vez</t>
  </si>
  <si>
    <t>Catastrófico</t>
  </si>
  <si>
    <t>1.- La no aplicación de los Procesos y Procedimientos de Atención al Ciudadano.
2.- Desconocimiento de sus obligaciones como servidor público. 
3.- No contar con condiciones ténicas, administrativas, legales y financieras</t>
  </si>
  <si>
    <t>Incumplir los tiempos de respuesta establecidos por la norma.</t>
  </si>
  <si>
    <t>Incumplir los tiempos de respuesta establecidos por la norma para la atención de PQRSD.</t>
  </si>
  <si>
    <t>Tutelas, Demandas Adminitrativas, Responsabilidad Penal y Disciplinaria y pérdida de la credibilidad.</t>
  </si>
  <si>
    <t>1. Resolución 2071 del 30 de septiembre de 2015
2..Procedimiento de Atención al Ciudadano.
3. Formatos de Seguimiento PQRS.
4. Formato Reporte  PQRS  por dependencias
5. Talleres, capacitaciones y evaluación de PQRSD.</t>
  </si>
  <si>
    <t>ASUMIR</t>
  </si>
  <si>
    <t>Taller en sitio ; seguimiento a tiempos de respuesta ; apoyo y acompañamiento a respuestas, monitoreo y evaluacion a los procedimientos y controles del grupo</t>
  </si>
  <si>
    <t xml:space="preserve">1. Lista de asistencia, fotografías, material utilizado. 
2. Formatode seguimiento presencial y seguimiento por correo electrónico. 
3. Actas reuniones grupo A.C.
4. Correo electrónico de acompañamiento a respuestas.
</t>
  </si>
  <si>
    <t>BIBIANA SANDOVAL 
Coordinadora Grupo de Atención al Ciudadano</t>
  </si>
  <si>
    <t>(Número de PQRS contestadas dentro del termino / Numero de PQRS recibidas) *100</t>
  </si>
  <si>
    <t>1.- Carecer de personal idoneo y suficiente para la atención al ciudadano o a las solictudes que ingresan por los canales habilitados.
2.- La no aplicación de los Procesos, Procedimientos y Guias del Grupo de Atención al Ciudadano.</t>
  </si>
  <si>
    <t>Atención inadecuada al ciudadano y falta de calidad en la respuesta.</t>
  </si>
  <si>
    <t xml:space="preserve">Atención inadecuada al ciudadano y falta de calidad en la respuesta, por falta de manejo en los protocolos estiupulados por el Instituto. </t>
  </si>
  <si>
    <t>*Incumplimiento de las política  de orientación al ciudadano.
*Falta de credibilidad, y confianza hacia el IDEAM 
*Quejas y Reclamos.</t>
  </si>
  <si>
    <t>1. Resolución 2071 del 30 de septiembre de 2015
2..Procedimiento de Atención al Ciudadano.
3. Guía Atención al Ciudadano
4. Talleres, capacitaciones y evaluación de PQRSD.</t>
  </si>
  <si>
    <t>*Medición del NSU
 *Talleres en Sitio
*Apoyo y acompañamiento a respuestas.
*Creación de herramientas de respuesta.</t>
  </si>
  <si>
    <t xml:space="preserve">1. Encuestas NSU
2. Lista de asistencia, fotografías, material utilizado.
3. Plantillas de Respuesta a las distintas peticiones.  
</t>
  </si>
  <si>
    <t>(Total de encuestados con respuesta aceptable / Total de encuestados)*100</t>
  </si>
  <si>
    <t>1.- Funcionarios predispuestos a la materialización de conductas de corrupción. 
2.- La no aplicación de los Procesos y Procedimientos de Atención al Ciudadano.</t>
  </si>
  <si>
    <t>Solicitar o aceptar pagos o cualquier otra clase de beneficio.</t>
  </si>
  <si>
    <t xml:space="preserve">Solicitar o aceptar pagos o cualquier otra clase de beneficio, a cambio de dar cumplimiento a las obligaciones propias del cargo asignado al Grupo de Atención al Ciudadano. </t>
  </si>
  <si>
    <t>1. Resolución 2071 del 30 de septiembre de 2015
2.Procedimiento de Atención al Ciudadano.
3. Formato Ordenado de registro PQRS
4. Formatos de Seguimiento PQRS.
5. Formato Reporte  PQRS  por dependencias.</t>
  </si>
  <si>
    <t>Capacitaciones, 
Seguimiento  tiempos de respuesta, monitoreo, evaluación  a los procedimientos y controles del grupo</t>
  </si>
  <si>
    <t>1. Lista de asistencia, fotografías, material utilizado. 
2. Correos electrónicos y Formato seguimiento presencial.
3. Actas reuniones grupo A.C.</t>
  </si>
  <si>
    <t>(Casos de corrupción de Atención al Ciudadano denunciados/Total de PQRS)*100
=0%</t>
  </si>
  <si>
    <t>Falta de conocimiento de la normatividad presupuestal</t>
  </si>
  <si>
    <t xml:space="preserve">Afectar rubros presupuestales que no correspondan con el objeto de la solicitud del CDP </t>
  </si>
  <si>
    <t>Hace referencia a las solicitudes de certificados de disponibilidad presupuestal que se afectan con cargo a rubros presupuestales que no corresponden a la definición contenida del rubro en la Ley de Presupuesto aplicable a la vigencia.</t>
  </si>
  <si>
    <t>Imposibilidad de continuar con el tramite de cadena presupuestal correspondiente.</t>
  </si>
  <si>
    <t>Improbable</t>
  </si>
  <si>
    <t xml:space="preserve">Aplicación Puntos de control establecidos en el procedimiento de expedicion de Certificado de disponibilidad presupuestal.
</t>
  </si>
  <si>
    <t>Asumir</t>
  </si>
  <si>
    <t xml:space="preserve">Durante la Vigencia </t>
  </si>
  <si>
    <t>Revisar contra el Seguimiento Contractual aprobado  se verifica contra la solicitud la conformidad de la actividad POA, renglón, objeto, rubro o proyecto y fuente de financiación</t>
  </si>
  <si>
    <t xml:space="preserve">Informe plan de contratación </t>
  </si>
  <si>
    <t xml:space="preserve">GRUPO DE PRESUPUESTO </t>
  </si>
  <si>
    <t xml:space="preserve"> Número de CDP's devueltos / Número total de CDP tramitados
</t>
  </si>
  <si>
    <t>1. Desconocimiento de principios básicos en la ejecución del presupuesto. 
2. Falta de valores éticos y morales en los servidores públicos que toman decisiones frente al manejo presupuestal.
3. Informacion inconsistente al solicitar los Certificados de Disponibilidad.</t>
  </si>
  <si>
    <t>Beneficio a terceros en la expedicion de Certificados Presupuestales y Registros Presupuestales.</t>
  </si>
  <si>
    <t>Expedir Certificados de Disponibilidad Presupuestal y/o Registros Presupuestales amparando la contratación del Instituto  sin el lleno de los requisitos legales, en beneficio propio o a cambio de una retribución económica.</t>
  </si>
  <si>
    <t>1. Inconsistencias en la informacion suministrada por el Grupo de presupuesto a los diferentes entes de control.
2. Sanciones disciplinarias por parte de los entes de control.
3. Detrimento patrimonial.</t>
  </si>
  <si>
    <t>1. Validar la información de las solicitudes de Certificados de Disponibilidad Presupuestal y compromisos adquiridos por el IDEAM de carácter contractual con el Seguimiento Contractual, la ejecución presupuestal y soportes, previo a su generación en el aplicativo SIIF Nación.
2. Verificar que la información registrada en el aplicativo SIIF Nación que ampara la contratación del Instituto esté acorde con la documentación soporte allegada.</t>
  </si>
  <si>
    <t xml:space="preserve">Debilidades en la capacitacion de los usuarios en el manejo y operación del aplicativo SIIF Nacion </t>
  </si>
  <si>
    <t>Registrar las transacciones de Gestion Financiera con inconsistencias en el aplicativo SIIF Nacion .</t>
  </si>
  <si>
    <t>Hace referencia a los errores presentados al efectuar las diferentes transacciones en el aplicativo SIIF Nacion.</t>
  </si>
  <si>
    <t>Inexactitud en la informacion registrada en el aplicativo SIIF Nacion.</t>
  </si>
  <si>
    <t>Menor</t>
  </si>
  <si>
    <t>Validar la informacion registrada en el aplicativo SIIF Nacion antes de realizar tramite.</t>
  </si>
  <si>
    <t xml:space="preserve"> Revisar que los documentos soportes entregados para las transacciones de Gestion Financiera    contengan la informacion requerida para registro en  el  aplicativo SIIF Nacion.</t>
  </si>
  <si>
    <t xml:space="preserve">Radicados Orfeo </t>
  </si>
  <si>
    <t xml:space="preserve">GRUPO DE PRESUPUESTO /GRUPO DE TESORERIA /GRUPO DE CONTABILIDAD </t>
  </si>
  <si>
    <t>GRUPO DE PRESUPUESTO :  *Número de RP's servicios públicos devueltos / Número total de RP servicios públicos tramitados
*(Número de RPC's contratos devueltos / Número total de RPC's contratos tramitados)100
*Número de RP's comisiones devueltos / Número total de RP comisiones tramitados</t>
  </si>
  <si>
    <t>Informes de Ejecucion Presupuestal mensual publicados en la pagina WEB.</t>
  </si>
  <si>
    <t xml:space="preserve">*Desconocimiento de la normatividad vigente.
*Defiencias en la formulación de estudios previos.
*Incumplimiento de los requisitos  y tiempos establecidas en el proceso de gestión jurídica y contractual. 
</t>
  </si>
  <si>
    <t>Inadecuada aplicación de los principios contractuales, en las diferentes etapas de la contratación del Instituto</t>
  </si>
  <si>
    <t>Incumplimiento total o parcial de las dispociciones normativas en materia contractual.</t>
  </si>
  <si>
    <t>Inefectividad en provisión de bienes y/o servicios requeridos para el cumplimiento de la misión de la entidad.</t>
  </si>
  <si>
    <t xml:space="preserve">Verificar a través de la lista de chequeo de contratación el total de documentos requeridos
</t>
  </si>
  <si>
    <t>Actualizar a los abogados y técnicos con los que cuenta la oficina asesora jurídica,  en cuanto a los modificaciones y normatividad vigente,</t>
  </si>
  <si>
    <t>OFICINA ASESORA JURIDICA</t>
  </si>
  <si>
    <t xml:space="preserve">
Número de Contratos con el Total de Documentos Establecidos En La Ley / Número De contratos Suscritos
 </t>
  </si>
  <si>
    <t xml:space="preserve">*Inadecuada aplicación o interpretación de conceptos, procedimientos y normas jurídicas.
*Desconocimiento de la normatividad vigente. </t>
  </si>
  <si>
    <t xml:space="preserve">Inviabillidad jurídica de las actuaciones del instituto </t>
  </si>
  <si>
    <t>Realizar actuaciones no viables jurídicamente ni de acuerdo a los procedimiento y normas vigentes.</t>
  </si>
  <si>
    <t>*Sanciones.
*Hallazgos en las auditorias internas y externas.
*Disminución de la satisfacción de los usuarios/clientes</t>
  </si>
  <si>
    <t>Revisión de documentos por parte del Jefe de la Oficina Asesora Jurídica</t>
  </si>
  <si>
    <t xml:space="preserve">*Implementar revisión de pares
*Actualizar a los abogados y técnicos con los que cuenta la oficina asesora jurídica,  en cuanto a los modificaciones y normatividad vigente,
</t>
  </si>
  <si>
    <t xml:space="preserve">No. De Demanadas de nulidad y restablecimiento de derecho / No. De Proceso Jurídicos y Contractuales 
</t>
  </si>
  <si>
    <t xml:space="preserve">*Desconocimiento de los términos. 
*Desconocimiento de las consecuencias de la no respuesta dentro de término. </t>
  </si>
  <si>
    <t>Incumplimiento de los términos legales para responder los derechos de petición.</t>
  </si>
  <si>
    <t xml:space="preserve">Incumplimiento de los términos legales para responder los derechos de petición lo cual genera alto riesgo de condena judicial por el ejercicio de la acción de tutela </t>
  </si>
  <si>
    <t xml:space="preserve">*Fallo judicial en contra.
*Investigaciones disciplinarias 
*Disminución de la satisfacción de los usuarios. </t>
  </si>
  <si>
    <t>Insignificante</t>
  </si>
  <si>
    <t xml:space="preserve">*Seguimiento por Orfeo
*Profesional del Derecho cuyo objeto ocntactual contempla el control y segumiento de los derechos de petición.
</t>
  </si>
  <si>
    <t xml:space="preserve">*Actualización jurídica concomitante con las reformas que afecten el derecho fundamental de petición, cuando se requiera. </t>
  </si>
  <si>
    <t>Número de capacitaciones realizadas / Número de reformas que en el ordenamiento jurídico tenga el derecho fundamental de petición</t>
  </si>
  <si>
    <t>Desconocer las características intrínsecas del bien y/o servicio que se desea contratar además de la falta de control asociado al proceso de contratación.</t>
  </si>
  <si>
    <t>Direccionar los procesos hacia
un grupo en particular</t>
  </si>
  <si>
    <t>Realizar actuaciones contrarias a la ley</t>
  </si>
  <si>
    <t>*Investigaciones disciplinarias *Investigaciones penales</t>
  </si>
  <si>
    <t>Contratación de personal idóneo y responsable para adelantar la contratación</t>
  </si>
  <si>
    <t>*Seguimiento de las tareas adelantadas por los abogados con los que cuenta la OAJ</t>
  </si>
  <si>
    <t>Número de personal contratado/ Número de contraros revisados y suscritos</t>
  </si>
  <si>
    <t>Falta de conciliaciones entre  el grupo de contabilidad y las dependencias que proveen informacion financiera</t>
  </si>
  <si>
    <t>Inexatitud en las cifras reveladas en los Estados Financieros del Instituto</t>
  </si>
  <si>
    <t>La información contable es base fundamental para la toma de decisiones de forma tal que se pueda administrar y proporcionar adecuadamente los recursos financieros que faciliten el desarrollo y cumplimiento del plan estrategico del Ideam.</t>
  </si>
  <si>
    <t>Requerimientos e investigaciones por parte de los entes de control.</t>
  </si>
  <si>
    <t>Elaboración de conciliaciones bancarias, Formato de depreciación y amortización de activos; conciliación de activos devolutivos y de consumo, utilización del sistemaSICAPITAL  Módulo Limai</t>
  </si>
  <si>
    <t>Reducir</t>
  </si>
  <si>
    <t>verificación de la información de los soportes de contabilidad y de almacén</t>
  </si>
  <si>
    <t xml:space="preserve">Conciliación </t>
  </si>
  <si>
    <t>Henry Vincos, Gladys Gutierrez</t>
  </si>
  <si>
    <t>Desconocimiento de los requisitos legales para el tramite de pagos.</t>
  </si>
  <si>
    <t>Tramitar cuentas de contratistas y proveedores sin los debidos soportes legales.</t>
  </si>
  <si>
    <t>Gestionar los pagos y obligaciones  del Instituto sin los soportes legales tales como factura, cuenta de cobro, certificaco de supervision, planilla seguridad social.</t>
  </si>
  <si>
    <t xml:space="preserve"> A-GF-F004 FORMATO INGRESO DE INFORMACION CONTRATO;,FORMATO CERTIFICADO DE SUPERVICIÓN,  FORMATO DOCUMENTO EQUIVALENTE</t>
  </si>
  <si>
    <t>Revisiones en diferentes partes del proceso así: al ser radicada la cuenta en contabilidad, antes liquidar los impuestos y antes de generar la obligación en el sistema Siif</t>
  </si>
  <si>
    <t xml:space="preserve">Número único consecutivo
SIIF
</t>
  </si>
  <si>
    <t xml:space="preserve">Durante el trimestre se desagregó el proceso en varios funcionarios los cuales tienen una responsabilidad específica con el fin de verificar los requisitos legales e identificar los errores, así continuar con el proceso o devolver la cuenta. </t>
  </si>
  <si>
    <t>Caroline Saiz, Gladys Martinez, Yadira Paez y Martha Patricia Pinilla</t>
  </si>
  <si>
    <t>Tramitar cuentas sin los soportes legales</t>
  </si>
  <si>
    <t>Inexactitud en las cifras reveladas en los Estados Financieros</t>
  </si>
  <si>
    <t>Falta de verificacion y control del pac solicitado en la recepcion de cuentas</t>
  </si>
  <si>
    <t>Tramite de cuentas de contratistas y proveedores sin PAC programado por la dependencia.</t>
  </si>
  <si>
    <t>Tramitar cuentas de contratistas y proveedores que no hayan solictado el respectivo PAC, afectando el pago de otras obligaciones programadas oportunamente.</t>
  </si>
  <si>
    <t>Incumplimiento de obligaciones, Multas, sanciones y procesos legales.</t>
  </si>
  <si>
    <t>Recepción de cuentas y facturas validando que hayan sido programadas en el PAC, Proyectar memorandos a las dependencias informando cuentas de contratistas y facturas sin radicar una vez vencidos los plazos</t>
  </si>
  <si>
    <t>Uso de herramienta en excel que compara y disminuye el valor Pac cuando se radicada la cuenta</t>
  </si>
  <si>
    <t>Excel</t>
  </si>
  <si>
    <t xml:space="preserve">Mensualmente se registra en archivo Excel las cuentas que se tramitan, con el fin de controlar de manera automática el saldo del PAC disponible para cada compromiso.  Todo esto con el propósito de identificar las cuentas que no tengan PAC programado, en el instante que el contratista o proveedor está radicando la cuenta. </t>
  </si>
  <si>
    <t>Yadira Paez y Caroline Saiz</t>
  </si>
  <si>
    <t xml:space="preserve">Desconocimiento de la normatividad vigente.  </t>
  </si>
  <si>
    <t>Inoportunidad en la presentación de informes de Ley.</t>
  </si>
  <si>
    <t>Presentar los informes de Ley, fuera de los terminos establecidos.</t>
  </si>
  <si>
    <t xml:space="preserve">Sanciones, multas, e intereses
</t>
  </si>
  <si>
    <t>Cronograma de cumplimiento de entrega y presentación de informes</t>
  </si>
  <si>
    <t>Realizar seguimiento y cumplimiento al cronograma de Ministerio de Hacienda y la Contaduría General de la Nación.
Elaboración de cronograma de actividades generando alertas de forma automática en el programa Zimbra.</t>
  </si>
  <si>
    <t>Zimbra</t>
  </si>
  <si>
    <t>Durante el trimestre se cumplió con los cronogramas establecidos por Ministerio de Hacienda y la Contaduría General de la Nación; El cronograma del Ministerio de Hacienda se cumple con el registro de la información financiera y contable en SIIF, y el cronograma de la Contaduría General de la Nación fue soporte para cumplir con la presentación de la información contable (Chip, informe de reciprocas, entre otros).</t>
  </si>
  <si>
    <t>Oportuinidad en la presentación de los informes de ley</t>
  </si>
  <si>
    <t>Ofrecimiento de prebendas al funcionario encargado del establecimiento de los indicadores</t>
  </si>
  <si>
    <t>Favorecimiento económico a terceros en las licitaciones del Instituto.</t>
  </si>
  <si>
    <t>Establecer los indicadores financieros de las diferentes licitaciones sin el debido análisis del sector económico del SIREM.</t>
  </si>
  <si>
    <t>Corrupción de Funcionario y/o contratista del grupo de contabilidad y sanciones disciplinarias por parte de los entes de control</t>
  </si>
  <si>
    <t>Solicitar al Grupo de Talento humano, Control Interno, Oficina Asesora de Planeación o Comunicaciones campañas o actividades de anticorrupción.</t>
  </si>
  <si>
    <t>Durante el trimestre se actualizaron los riesgos de corrupción del Grupo de Contabilidad, los cuales aportan al cumplimiento del PAAC (Plan Anticorrupción y Atención al Ciudadano).</t>
  </si>
  <si>
    <t>Coordinadora Grupo de Contabilidad</t>
  </si>
  <si>
    <t>Ofrecimiento de prebendas al funcionario encargado de la amortizacion de los anticipos</t>
  </si>
  <si>
    <t xml:space="preserve">Favorecer a los proveedores de contratos con la bolsa mercantil. </t>
  </si>
  <si>
    <t>Autorizar los desembolsos a los proveedores de contratos con la bolsa mercantil sin el lleno de los requisitos legales.</t>
  </si>
  <si>
    <t xml:space="preserve">*Demoras en las etapas precontractuales y contractuales. </t>
  </si>
  <si>
    <t>Inefectividad en el suministro de bienes y servicios necesarios para el funcionamiento de la Entidad</t>
  </si>
  <si>
    <t>Inoportunidad e insuficiente suministro bienes y servicios requeridos.</t>
  </si>
  <si>
    <t xml:space="preserve">*Ambiente inadecuado de trabajo.
*Insatisfacción del funcionario.
*Fallas en la prestación del servicio. </t>
  </si>
  <si>
    <t>Casí Seguro</t>
  </si>
  <si>
    <t>Plan Anual de Adquisiciones, Cronograma de actividades por dependencia.
Trazabilidad radicación ORFEOS.</t>
  </si>
  <si>
    <t>Compartir</t>
  </si>
  <si>
    <t xml:space="preserve">*Falta de disponibilidad de personal al interior del área.
*Personal insuficiente para atender requerimientos.
*No contar con condiciones ténicas,  administrativas y financieras necesarias. </t>
  </si>
  <si>
    <t>Perdida de bienes por objeciones y/o prescripciones en el trámitre de siniestros ante la aseguradora.</t>
  </si>
  <si>
    <t xml:space="preserve">Inoportunidad e inadecuada atención a los trámites de reclamación de sinistros ante la aseguradora. </t>
  </si>
  <si>
    <t xml:space="preserve">*Perdida de bienes del Instituto.
*Fallas en la prestación del servicio. 
</t>
  </si>
  <si>
    <t>Procedimiento sobre el tema  administración y manejo de bienes y servicios.
Bases de datos de reclamaciones ante la aseguradora.</t>
  </si>
  <si>
    <t>Durante La Vigencia</t>
  </si>
  <si>
    <t xml:space="preserve">Gestionar personal para ejecutar los trámites ante la aseguradora. 
Realizar seguimiento a todas las reclamaciones en curso, hasta lograr la reposición de los bienes. </t>
  </si>
  <si>
    <t>Comunicaciones escritas (sistema Orfeo y Zimbra)</t>
  </si>
  <si>
    <t>PROFESIONAL GRUPO DE SERVICIOS ADMINISTRATIVOS, COORDINADOR GRUPO DE SERVICIOS ADMINISTRATIVOS</t>
  </si>
  <si>
    <t>Se reviso, modifico el plana anual de adquisiciones de acuerdo a las necesidades del Grupo de Servicios Administrativos. Se anexan correos de solicitudes de las modificaciones.</t>
  </si>
  <si>
    <t>Presiones indebidas sobre funcionarios del Instituto por parte de firmas interesadas en los futuros procesos de contratación de la Entidad.
asignacion y entrega de dadivas y sobornos</t>
  </si>
  <si>
    <t>Beneficio a terceros para sumnistro de bienes y servicios del IDEAM</t>
  </si>
  <si>
    <t>Elaborar estudios previos para la contratación del suministro de materiales, equipos, elementos o servicios que requiera la Entidad,direccionado en beneficio de un tercero  en particular.</t>
  </si>
  <si>
    <t>*Mala percepcion del IDEAM ante la opinion publica.
*Acciones legales disciplinarias, penales y fiscales por parte de los entes de control</t>
  </si>
  <si>
    <t xml:space="preserve">Formatos y procedimientos establecidos por la oficina asesora jurídica
Lista de chequeo requisitos para radicación de estudios previos oficina asesora jurídica
</t>
  </si>
  <si>
    <t>Coordinar con La Oficina Asesora Jurídica la actualización en temas jurídicos y precontractuales</t>
  </si>
  <si>
    <t>ASESOR JURIDICO GRUPO DE SERVICIOS ADMINISTRATIVOS</t>
  </si>
  <si>
    <t>Incosistencias en los documentos soportes (facturas y recibos) para legalizar pagos por caja menor</t>
  </si>
  <si>
    <t>manejo indebido de caja menor del IDEAM</t>
  </si>
  <si>
    <t>asignacion de dinero para compras de bienes y servicios para casos fortuitos y extraordinarios</t>
  </si>
  <si>
    <t>*Peculado y detrimento patrimonial 
*Acciones disciplinarias por parte de los entes de control</t>
  </si>
  <si>
    <t xml:space="preserve">Control de gastos en el aplicativo SIIF 
Control en la plataforma bancaria
</t>
  </si>
  <si>
    <t>Trimestral</t>
  </si>
  <si>
    <t>Realizar el arqueo de la caja menor periódicamente</t>
  </si>
  <si>
    <t xml:space="preserve">Elaboración de actas e informes del arqueo de la caja menor
Comunicaciones escritas (sistema Orfeo y Zimbra) 
Relación de extractos bancarios 
Reportes expedidos por la plataforma SIIF del Ministerio de Hacienda
</t>
  </si>
  <si>
    <t>*Información inconsistente de los bienes de propiedad de la entidad a las auditorias externas e internas. 
*Inventarios desactualizados de los funcionarios.</t>
  </si>
  <si>
    <t>Certificación fraudulenta de ingresos al instituto.</t>
  </si>
  <si>
    <t>Certificación fraudulenta de ingresos al instituto incumpliendo con las especificaciones por parte del proveedor.</t>
  </si>
  <si>
    <t>*Detrimento patrimonial.
*Sanciones disciplinarias por parte de los entes de control.</t>
  </si>
  <si>
    <t>*Formato constancia de verificación documental.
*Aplcativo Sicapital</t>
  </si>
  <si>
    <t>Revisión trimestral de los documentos soportes ingreso Almacén.</t>
  </si>
  <si>
    <t>*Formato constancia de verificación documental.
*Aplcativo Sicapital Diligenciado</t>
  </si>
  <si>
    <t>*Formato autorización de salida de elementos.
*Aplcativo Sicapital</t>
  </si>
  <si>
    <t>Revisión mensual del formato establecido a la empresa de vigilancia por parte del Grupo de Recursos Físicos sede Fontibón y Grupo de Inventarios y Almacén sede 42</t>
  </si>
  <si>
    <t>Documento Diligenciado</t>
  </si>
  <si>
    <t>EMPRESA DE VIGILANCIA, PROFESIONAL GRUPO DE SERVICIOS ADMINISTRATIVOS</t>
  </si>
  <si>
    <t>Falta de conocimiento de la ley disciplinaria
Sobrecarga laboral.
Falta de personal.
Reporte inoportuno de la noticia disciplinaria.</t>
  </si>
  <si>
    <t>Nulidades o Prescripción de la acción disciplinaria.</t>
  </si>
  <si>
    <t>Decretar de oficio nulidades o prescripción de la acción disciplinaria en los procesos adelantados por el grupo</t>
  </si>
  <si>
    <t>*Ineficiencia en el desarrollo del proceso.                                      *Impunidad.</t>
  </si>
  <si>
    <t>Ley 734 del 2002
A-CID-F005 Formato Cuadro control de expedientes, Sistema de Gestión Documental ORFEO.</t>
  </si>
  <si>
    <t>PRIMER SEMESTRE 2017</t>
  </si>
  <si>
    <t>Coordinación del Grupo de Control Disciplinario Interno - oficina Asesora de Planeación</t>
  </si>
  <si>
    <t>Gestión del Proceso - Capacitaciones y Directrices Realizadas - Sanciones</t>
  </si>
  <si>
    <t xml:space="preserve">Violación a las garantias propias de los sujetos procesales. </t>
  </si>
  <si>
    <t>Ausencia de sistemas de informaciòn efectivos que permitan medir los tiempos de proceso. Reprocesos en las diferentes etapas toma de decisiones de todo el proceso centralizado en una sola persona</t>
  </si>
  <si>
    <t>demoras en las respuestas o conceptos hacia el usuario, del proceso de acreditacion</t>
  </si>
  <si>
    <t>Este riesgo hace referencia a aquellos conceptos respuestas o actuaciones por parte del IDEAM que tienen un tiempo estipulado y no se cumplen</t>
  </si>
  <si>
    <t>Detrimento de la imagen Institucional Acciones juridicas en contra del IDEAM</t>
  </si>
  <si>
    <t>Riesgo de Gestion</t>
  </si>
  <si>
    <t>Casi seguro</t>
  </si>
  <si>
    <t xml:space="preserve">La tipificación correcta y suficiente en el Orfeo permite un control eficaz.
Se cuenta con seguimiento en excel con alimentaciòn manual.
</t>
  </si>
  <si>
    <t>Año 2017</t>
  </si>
  <si>
    <t>Subdirectora Estudios Ambientales</t>
  </si>
  <si>
    <t>tiempo promedio de trámite</t>
  </si>
  <si>
    <t>* Deficiencias en la revisión preliminar del trámite.
* Asignación de tareas jurídicas al equipo técnico.
* Ausencia de políticas sobre las que se tomen decisiones sobre el trámite</t>
  </si>
  <si>
    <t>Respuestas en contravención con normatividad vigente, el proceso o conceptos científicos</t>
  </si>
  <si>
    <t>Respuesta a usuarios, actos administrativos o acciones que se desvíen de lo dispuesto en la normatividad vigente, que no sean coherentes con los antecedentes del proceso o vayan en detrimento de los conceptos científicos vigentes.</t>
  </si>
  <si>
    <t>Recursos de reposición interpuestos ante los actos administrativos favorables para el usuario, acciones legales en contra del IDEAM, detrimento de la imagen del Instituto, decisiones no coherentes con el proceso o la legislación vigente.</t>
  </si>
  <si>
    <t xml:space="preserve">Autos de inicio de proceso, los informes técnicos y el seguimiento a las Pruebas de Evaluación de Desemepño, son controles para mantener los conceptos y actos administrativos coherentemente.
</t>
  </si>
  <si>
    <t>Año fiscal 2017</t>
  </si>
  <si>
    <t>Diseñar e implementar un informe técnico único y robusto, que sea acogido en  los actos administrativos,  y en el cual el concepto jurídico se limite a la procedencia y legalidad a otorgar.</t>
  </si>
  <si>
    <t>Coordinador Grupo Acreditación</t>
  </si>
  <si>
    <t>N. Recursos de reposición donde se acepte por lo menos un argumento presentado por el usuario</t>
  </si>
  <si>
    <t xml:space="preserve">* Retrasos en transporte hacia el laboratorio evaluado.
* Incapacidad del evaluador.
* Restrasos en pagos de viáticos al evaluador.
</t>
  </si>
  <si>
    <t>No realización de visita de evaluación para acreditación.</t>
  </si>
  <si>
    <t>Demora o suspensión de la actividad de evaluación del OEC impidiendo que los usuarios puedan obtener la acreditacón</t>
  </si>
  <si>
    <t>Detrimento de la imagen institucional.
Acciones jurídicas en contra del IDEAM.</t>
  </si>
  <si>
    <t>Cada semana se debería permitir por lo menos que un evaluador líder esté disponible para suplir las posibles ausencias de otros evaluadores.</t>
  </si>
  <si>
    <t>Programación bimensual con la confirmación suficiente
Garantizar la disponibilidad como mínimo de un evaluador líder por semana para cubrir las suplencias necesarias.
Adicionar el parámetro "traslado" en el cálculo de la cotización</t>
  </si>
  <si>
    <t>N. de visitas no realizadas por causa del IDEAM</t>
  </si>
  <si>
    <t xml:space="preserve">* Falta de estímulos profesionales y meritorios al interior del grupo de trabajo.
* Problemas económicos financieros de los miembros del grupo de acreditación.
* Deseo de éxito sobrepasando los límites profesionales y éticos. </t>
  </si>
  <si>
    <t>Decisiones ajustadas a intereses particulares</t>
  </si>
  <si>
    <t>Este riesgo hace referencia a aquellas decisiones que se tomen con fundamento en un interés particular.</t>
  </si>
  <si>
    <t xml:space="preserve">Acciones judiciales contra el instituto.
Detrimento de la imagen institucional.
Procesos disciplinarios, penales, administrativos y fiscales en contra de los servidores públicos del Instituto.
</t>
  </si>
  <si>
    <t xml:space="preserve">* Registro activo de conflico de intereses, más el registro de compromiso de confidencialidad, imparcialidad e independencia de todo el grupo.
* Confirmación de impedimentos previo a la visita in situ.
</t>
  </si>
  <si>
    <t>Implementación del Sistema de Gestión de Calidad basado en la norma ISO 17011, apra definir las políticas generales de decisiones y normalizar el hacer diario del equipo completo relacionado con el proceso</t>
  </si>
  <si>
    <t>% de implementación del sistema de gestión de calidad</t>
  </si>
  <si>
    <t>Omisión, intereses mutuo o recibimiento de dádivas.</t>
  </si>
  <si>
    <t xml:space="preserve">Desviación de recursos girados en beneficio a terceros. </t>
  </si>
  <si>
    <t>Ordenar, efectuar o desviar pagos que por omisión o beneficios a terceros se presenten en la sede central y áreas operativas.</t>
  </si>
  <si>
    <t>Procesos disciplinarias, penales o fiscales. Detrimento patrimonial.</t>
  </si>
  <si>
    <t>1. PROCEDIMIENTOS:A-GF-I003 Instructivo Giro y Pago de Cheques, A-GF-P005 Procedimiento Gestión de Pagos.      2.FORMATOS: A-GF-F011 Formato de Novedades Cuentas Bancarias. 3.  SOFTWARE:  SIIF NACION II, ORFEO, GESTION SEGURIDAD ELECTRONICA (Token-firma digital) y CERTICAMARA (Token-firma digital).</t>
  </si>
  <si>
    <t>Ejecución mensual durante el año.</t>
  </si>
  <si>
    <t>1- Fortalecer los controles establecidos para la revisión de  los pagos, con el fin de  establecer obligaciones, según lo establecido en el  Procedimiento de Gestión de Pagos. 2. Solicitar a las áreas operativas el envío de los soportes de  los pagos que realicen con los recursos girados  desde la sede central.</t>
  </si>
  <si>
    <t>Grupo Tesoreria</t>
  </si>
  <si>
    <t>Desconocimiento de la normativa vigente.
Sobrecarga laboral.</t>
  </si>
  <si>
    <t>Inoportunidad en los pagos</t>
  </si>
  <si>
    <t>Demora en el trámite de las obligaciones que son allegadas a la dependencia para pago.</t>
  </si>
  <si>
    <t>Sanciones disciplinarias, fiscales y penales por incumplimiento de los pagos en los términos establecidos por parte del Instituto.</t>
  </si>
  <si>
    <t>1. PROCEDIMIENTOS:A-GF-I003 Instructivo Giro y Pago de Cheques, A-GF-P005 Procedimiento Gestión de Pagos.      2.FORMATOS:  A-GF-P011 Procedimiento Solicitud y Legalización Comisiones, . 3.  SOFTWARE:  SIIF NACION II, ORFEO</t>
  </si>
  <si>
    <t>1- Fortalecer los controles establecidos para la revisión de  los pagos, con el fin de  establecer obligaciones y fechas limite de pagos.</t>
  </si>
  <si>
    <t>Indicadores de gestión</t>
  </si>
  <si>
    <t>Total de ordenes de pago pagadas/Total de obligaciones del mes *100</t>
  </si>
  <si>
    <t>Desconocimiento de las políticas gubernamentales y del sector.
Inadecuado planteamiento de las actividades propuestas para los planes.
Desconocimiento de las herramientas de planeación.</t>
  </si>
  <si>
    <t>Inadecuada formulación y seguimeinto de los planes institucionales</t>
  </si>
  <si>
    <t>Inadecuada interpretación de los lineamientos gubernamentales y sectoriales, en los planes institucionales</t>
  </si>
  <si>
    <t>Incumplimiento total o parcial de las metas.
No contribuir al cumplimiento de la misión institucional en el marco de las políticas vigentes.
No identificación de desviaciones a los planes.</t>
  </si>
  <si>
    <t>Seguimiento a la matriz de desempeño de la Entidad.
Cumplimeinto del procedimiento del Plan de Acción.</t>
  </si>
  <si>
    <t>1. Definir y aplicar Procedimiento formulación y seguimiento de programas, planes y proyectos.
2. Actualizar Guía para la Construcción de indicadores.</t>
  </si>
  <si>
    <t>Procedimiento aplicado
Guía indicadores actualizada</t>
  </si>
  <si>
    <t xml:space="preserve">Aplicación del Procedimiento formulación y seguimiento de programas, planes y proyectos código E-PI-P007
Reuniones de actualización guía indicadores SGI, </t>
  </si>
  <si>
    <t>Oficina Asesora de Planeación</t>
  </si>
  <si>
    <t>Seguimiento Plan Operativo Anual</t>
  </si>
  <si>
    <t>Intereses mutuos o recibimiento de dádivas.</t>
  </si>
  <si>
    <t>Aprobar CDP que no esten en el POA (Plan Operativo Anual)</t>
  </si>
  <si>
    <t>Aprobar CDP que no esten en el POA (Plan Operativo Anual), en beneficio a un particular</t>
  </si>
  <si>
    <t>1. Hallazgos en auditorias de los entes de Control. 
2. Perdida de credibilidad en la gestión de la Entidad. 
3. Detrimento patrimonial.</t>
  </si>
  <si>
    <t xml:space="preserve">E-PI-P001 Procedimiento PAA
ORFEOS
Seguimiento a la ejecución PAA </t>
  </si>
  <si>
    <t>1. Seguimiento a la ejecución actividades PAA
2.Seguimiento indicadores PAA</t>
  </si>
  <si>
    <t>Seguimiento PAA
Seguimiento indicadores PAA</t>
  </si>
  <si>
    <t>Durante el trimestre se realizó seguimiento a las actividades del Plan de Acción Anual
Seguimiento a las actividades del PAA a través de los indicadores propuestos.</t>
  </si>
  <si>
    <t>Version:05</t>
  </si>
  <si>
    <t>Fecha: 02/05/2017</t>
  </si>
  <si>
    <t xml:space="preserve">Revisión permanente Plan Anual de Adquisiciones y cronograma de actividades por dependencias para su reformulacion o reprogramacion de la actividad según sea la importancia de su adquisicion.
Solicitar 
</t>
  </si>
  <si>
    <t xml:space="preserve">Se actualizo el A-AR-P004 PROCEDIMIENTO TRAMITE DE SINIESTROS V6.PDF, igualmente el A-AR-F010 FORMATO LISTA DE CHEQUEO PROCEDIMIENTO DE SINIESTROS V2.DOC los cuales se pueden evidenciar en la página del SGI.
Se elabora mensualmente un cuadro que permite evidenciar los siniestros presentados durante cada vigencia, y así mismo se realiza seguimiento hasta lograr la reposición de los bienes. Se anexa lista de siniestros actual.
</t>
  </si>
  <si>
    <t xml:space="preserve">Estudios previos parte jurídica y técnica Grupo de Servicios Administrativos radicados para revisión de la Oficina Asesora Jurídica y aprobación en comité de contratación según los siguientes OFEOS:
1. 20172060002793 Mantenimiento preventivo y eventualmente correctivo a la planta eléctrica de 430 KVA del IDEAM.
3. 20172060002793 El ARRENDADOR entregará en arrendamiento al IDEAM y éste recibe al mismo título, 17.05 M2 para la ubicación de un pluviómetro de propiedad del IDEAM.
4. 20172060002843 Solicitud de modificación contractual del Contrato No. 101 de 2017.
5. 20172060002813 Solicitud de modificación contractual del Contrato de Prestación de Servicios No. 044 de 2017.
6. 20172060002833 Solicitud de modificación contractual del Contrato de Prestación de Servicios No. 048 de 2017.
7. 20172060002873 Contratar el servicio de transporte de carga de elementos volátiles y corrosivos del IDEAM, para la ruta Bogotá D.C. – San Andrés.
8.20172060003023 Intermediario de seguros.
9. 20172060003033 Mantenimiento  para las UPS mayores de 3 KVA del IDEAM.
10. 20172060003533 Suministro de papelería.
11. 20172060001363 Suministro de muebles tipo sofacama.
12. 20172060003793 Contratación de pólizas de Seguros para el IDEAM.
13. 20172060003853 Suministro de tiquetes aéreos.
</t>
  </si>
  <si>
    <t>De acuerdo a instrucciones impartidas y atendiendo las medidas de austeridad en el gasto a la fecha no se ha constituido apertura de caja menor.</t>
  </si>
  <si>
    <t>El día 04 de Julio de 2017 se efectuó monitoreo para verificar que todos los ingresos de almacén realizados hasta el día 30 de junio de 2017 cuenten con este formato diligenciado. Se anexa acta de reunión de monitoreo con almacén.</t>
  </si>
  <si>
    <t>El día 04 de julio de 2017 se realiza monitoreo al manejo y control del A-AR-F003 FORMATO AUTORIZACIÓN SALIDA DE ELEMENTOS, formato como único documento válido para permitir la salida de cualquier elemento en cualquier área del IDEAM. Se anexa copia del acta de reunión de monitoreo.</t>
  </si>
  <si>
    <t>V</t>
  </si>
  <si>
    <t>Semestral</t>
  </si>
  <si>
    <t>Revisión Semestral de las carpetas de los siniestros que se presenten.</t>
  </si>
  <si>
    <t>Informe semestral</t>
  </si>
  <si>
    <t>El dia 04 de julio de 2017, se realiza revisión a las carpetas de la totalidad de los siniestros del IDEAM, aplicando la lista de chequeo actualizada, igualmente se ordenan las carpetas de Acuerdo a lo enmarcado en la resolución 205 de 2006, y a los requisitos de gestión documental en la parte de archivo. Se anexa acta de reunión monitoreo carpetas siniestros.</t>
  </si>
  <si>
    <r>
      <t xml:space="preserve">Revisar el seguimiento contractual aprobado, se verifica contra la solicitud la conformidad de la actividad POA, renglón, objeto, rubro o proyecto y fuente de financiación.
Seguimiento de ABRIL a JUNIO de 2017 en CDP:
ABRIL: Para el mes de abril en el proceso de expedicion del CDP y e indicardor respectivo se presenta por parte de la dependencia que realizo la solicitud del CDP por el rubro presupuestal que no correspondia al objeto contractual, al realizar la revisión antes de finalizar el mes de la ejecución se detecto la inconsistencia, por lo tanto se solicito la devolucion para su respectivo ajuste en el aplicativo SIIF. Como </t>
    </r>
    <r>
      <rPr>
        <b/>
        <sz val="11"/>
        <rFont val="Arial Narrow"/>
        <family val="2"/>
      </rPr>
      <t>acción propuesta</t>
    </r>
    <r>
      <rPr>
        <sz val="11"/>
        <rFont val="Arial Narrow"/>
        <family val="2"/>
      </rPr>
      <t xml:space="preserve"> se impartieron instrucciones por parte de la Coordinadora del Grupo para los casos que se soliciten CDP's afectando los rubros de Honorarios y Remuneracion Servicios Tecnicos a fin de establecer la correspondencia con el objeto contractual, así mismo se verificara toda la información antes de realizar el envío a la dependencia.
MAYO-JUNIO: No presentan devoluciones en los indicadores.</t>
    </r>
  </si>
  <si>
    <r>
      <t xml:space="preserve">Revisar que los documentos soportes entregados para las transacciones de Gestion Financiera    contengan la informacion requerida para registro en  el  aplicativo SIIF Nacion.
Seguimiento de ABRIL a JUNIO de 2017.
ABRIL - MAYO: No presentan devoluciones en los indicadores.
JUNIO: Para el indicador correspondiente a devoluciones mensuales RP comisiones, se presento una falencia en la base de datos de comisiones en el momento de realizar el RPC y validar la cuenta bancaria del comisionado, debido a que existian dos cuentas bancarias vinculadas al mismo tercero. Como </t>
    </r>
    <r>
      <rPr>
        <b/>
        <sz val="11"/>
        <rFont val="Arial Narrow"/>
        <family val="2"/>
      </rPr>
      <t>acción propuesta</t>
    </r>
    <r>
      <rPr>
        <sz val="11"/>
        <rFont val="Arial Narrow"/>
        <family val="2"/>
      </rPr>
      <t xml:space="preserve"> se efectua una mejora a la base de datos, para implementar una verificación y control en la cuenta registrada en la planta de personal y la incluida en el registro presupuestal respectivo.</t>
    </r>
  </si>
  <si>
    <t xml:space="preserve">Coordinador del Grupo de Presupuesto </t>
  </si>
  <si>
    <r>
      <t xml:space="preserve">Revisar ejecuciones presupuestales y publicar en la pagina WEB.
*Se encuentran publicadas en pdf y formato de datos las correspondientes ejecuiones mensuales con corte a 30 de Junio de 2017.
1.1. Se revisan y validan los Seguimientos Contractuales de las dependencias que remite Secretaría General para aprobación, en lo que respecta a las asignaciones presupuestales de las dependencias y la ejecucion presupuestal de la entidad , esta validación se efectúa cruzando  el Seguimiento contractual contra las apropiaciones vigentes y los Certificados de Disponiblidad Presupuestal  expedidos , con el fin de verificar que se haya expedido conforme  a el valor, rubro, recurso, dependencia de afectación y objeto acorde con el renglón y actividad estipulada en el plan aprobado o evitar cambios en los ítems enunciados que afectan la información de los Certificados de Disponiblidad Presupuestal expedidos.
Evidencia 1.1. Esta información reposa en la ruta X:\Financiera\Vigencia 2017\Seguimientos contractuales.
Con corte a 30 de junio de 2017 se han revisado y validado 102 versiones de los Seguimientos Contractuales de las dependencias.
1.2. Se realiza control de las s olicitudes de CDP'S allegadas al grupo de presupuesto para tramité, mediante el diligenciamiento de una base de datos que contiene items, Fecha de elaboración,No de radicado Orfeo, documento a elaborar, tipo de documento, dependencia de afectacion, sub unidad afectacion, rubro, objeto de gasto, Ordinal, objeto,valor a reducir, anular y/o adicionar, valor actual,No SCDP, No CDP. Así mismo se liberan los saldos no comprometidos de los Certificados de Disponiblidad Presupuestal asociados a contratos.
</t>
    </r>
    <r>
      <rPr>
        <i/>
        <sz val="11"/>
        <rFont val="Arial Narrow"/>
        <family val="2"/>
      </rPr>
      <t>Evidencia 1.2.1.</t>
    </r>
    <r>
      <rPr>
        <sz val="11"/>
        <rFont val="Arial Narrow"/>
        <family val="2"/>
      </rPr>
      <t xml:space="preserve"> X:\Financiera\VIGENCIA 2017\CDP. Con corte a 30 de Junio de 2017 se elaboraron 425 CDPs para contratacion.
</t>
    </r>
    <r>
      <rPr>
        <i/>
        <sz val="11"/>
        <rFont val="Arial Narrow"/>
        <family val="2"/>
      </rPr>
      <t>Evidencia 1.2.2.</t>
    </r>
    <r>
      <rPr>
        <sz val="11"/>
        <rFont val="Arial Narrow"/>
        <family val="2"/>
      </rPr>
      <t xml:space="preserve"> Se realiza trimestralmente seguimiento a los CDP’s expedidos con tiempo mayor a 60 días y que no se encuentran con registro presupuestal, el soporte de las comunicaciones enviadas se encuentra en el expediente 201720304310700009E.
2. Se realiza seguimiento a la Expedicion de RPC´S validando informacion correspondiente a cada contrato la cual contiene los siguientes ítems, Fecha de elaboración, Abogado que elaboro Cto, No de radicado Orfeo, documento a elaborar, labor, tipo de documento, Dependencia afectación del gasto, documento soporte, beneficiario, rubro, recurso valor, descripción del objeto, No. Solicitud CDP, No. CDP, No. Registro Presupuestal y Observaciones.
</t>
    </r>
    <r>
      <rPr>
        <i/>
        <sz val="11"/>
        <rFont val="Arial Narrow"/>
        <family val="2"/>
      </rPr>
      <t>Evidencia 2.1.1.</t>
    </r>
    <r>
      <rPr>
        <sz val="11"/>
        <rFont val="Arial Narrow"/>
        <family val="2"/>
      </rPr>
      <t xml:space="preserve"> La información correspondiente a dicho revision se encuentra en la ruta: X:\Financiera\VIGENCIA 2017\ IDEAM 2017\ CONTROL 2017\SEGUIMIENTO EXPEDICION CDP´S Y RPC´S 2017. Con corte a 30 de Junio de 2017 se elaboraron 341 RPCS.
</t>
    </r>
    <r>
      <rPr>
        <i/>
        <sz val="11"/>
        <rFont val="Arial Narrow"/>
        <family val="2"/>
      </rPr>
      <t xml:space="preserve">Evidencia 2.1.2. </t>
    </r>
    <r>
      <rPr>
        <sz val="11"/>
        <rFont val="Arial Narrow"/>
        <family val="2"/>
      </rPr>
      <t xml:space="preserve">Se realiza seguimiento presupuestal a los planes de pago de los contratos, acorde a las forma de pago pactadas, el soporte de las comunicaciones enviadas se encuentra en el expediente 201720304310700009E.
</t>
    </r>
    <r>
      <rPr>
        <i/>
        <sz val="11"/>
        <rFont val="Arial Narrow"/>
        <family val="2"/>
      </rPr>
      <t>Evidencia 2.1.3.</t>
    </r>
    <r>
      <rPr>
        <sz val="11"/>
        <rFont val="Arial Narrow"/>
        <family val="2"/>
      </rPr>
      <t xml:space="preserve"> Se realiza seguimiento al rezago presupuestal constituido para la vigencia 2017, el soporte de las comunicaciones enviadas se encuentra en el expediente 201720304310700007E.</t>
    </r>
  </si>
  <si>
    <t>Cumplimiento con el procedimiento de Vinculación y desvinculación del Personal 
- Validación de los requisitos para
vinculación de cargos en la Entidad.
-Verificación de los documentos soportes de la hoja de vida del aspirante al cargo</t>
  </si>
  <si>
    <t xml:space="preserve">1.Verificar el cumplimiento de requisitos por parte de los candidatos.
2. Realizar el proceso meritocrático de Ley para la provisión de empleos de libre nombramiento y remoción. 
3. Diligenciamiento y Revisión previa de la información que se suministra cada vez que se requiere a la Comisión Nacional del Servicio Civil.
</t>
  </si>
  <si>
    <t xml:space="preserve">Formato Análisis Hoja de Vida A-GH-F012 y verificar cumplimiento de requisitos del cargo.
</t>
  </si>
  <si>
    <t xml:space="preserve">Revisar el cumplimiento de los requisitos del cargo al personal que aspira a un cargo de planta, frente al
manual de funciones vigente del Instituto.
1. La planta de personal de la entidad se encuentra provista en 89.5 %, es decir 421 empleos.
En cuanto a actos administrativos que modifican el Manual de Funciones de la Entidad. se refiere del 1 de Abril al 30 de Junio de 2017 se elaboraron los siguientes:
Resolución 727 de 06 de abril 2017   
Resolución 0743 de 11 de abril de 2017
Resolución 0853 de 26 de abril de 2017
Resolución 0843 de 25  de abril de 2017
Resolución 1038 de 12 de mayo de 2017
Resolución 1136 de 24 de mayo de 2017
</t>
  </si>
  <si>
    <t xml:space="preserve">N° de Hojas de vida analizadas / Total de vacantes ofertados. 
5 Hojas de vida analizadas /2 vacantes ofertados
N° de empleos provistos con uso de lista / Total de vacantes en espera uso de lista.
2 empleos provistos con uso de lista / 8 vacantes en espera uso de lista.
N° de ofertas de encargos / Total de encargos provistos.
9 ofertas de encargo / 2 encargos provistos
N° de nombramientos de libre nombramiento y remoción provistos / Total de vacantes de libre nombramiento y remoción.
1 nombramientos de libre nombramiento y remoción provisto / 2 vacantes de libre nombramiento y remoción.
</t>
  </si>
  <si>
    <t>COORDINADOR  GRUPO DE TESORERIA</t>
  </si>
  <si>
    <t>VIERNES 21 DE JULIO DE 2017</t>
  </si>
  <si>
    <t>A junio 30 de 2017</t>
  </si>
  <si>
    <t>Dentro de las acciones realizadas por parte del Grupo de Tesorería, para el seguimiento y control del riesgo, se fortalecio la revisión y control para el pago de la totalidad de las obligaciones mensuales, empleando como herramienta el reporte de seguimiento de saldos por ordenar  (SIIF) y seguimiento en los indicadores de Ordenes de pago pagadas frente a las obligaciones del mes , ver radicados 20172050000753, 20172050001773, 20172050003063 , 20172050003633, 20172050004013, 20172050004293</t>
  </si>
  <si>
    <t>1- Se reflejaría el registro mediante: a- Cuadro en excel de los registro de proveedores y contratistas para control de pagos, impuestos y terceros en la sede central y áreas operativas.  2. Facturas y/o recibos de pago debidamente cancelados con sus debidos soportes.</t>
  </si>
  <si>
    <t>Dentro de las acciones realizadas por parte del Grupo de  Tesorería, para el seguimiento al riesgo : 1-. Se efectuó revisión y control de la totalidad de los requisitos para cumplir con los pagos a contratistas y proveedores durante el segundo trimestre del año 2017, según cuadros  adjuntos. 2-. Se envio oficio con radicado 20172050000911  (adjjunto) dirigido al Juzgado Sexto de Familia de Ibague reiterando solicitud de instrucciones para pago de embargo a beneficiario final del area operativa 10.</t>
  </si>
  <si>
    <t xml:space="preserve">Falta puerta de control de acceso a la oficina de la Coordinacion de Tesoreria
Ingreso de funcionarios, contratistas o personas externa . </t>
  </si>
  <si>
    <t>Perdida de elementos custodia de la Tesoreria del Instituto</t>
  </si>
  <si>
    <t>Ingreso de personal no autorizado a la Oficina de la Coordinacion generando un riesgo de robo o perdida de elementos en custodia de la Tesoreria</t>
  </si>
  <si>
    <t>Procesos disciplinarias, penales o fiscales.</t>
  </si>
  <si>
    <t xml:space="preserve">1, A-GF-I003 INSTRUCTIVO GIRO Y PAGO DE CHEQUES
2, A-GF-P005 PROCEDIMEINTO GESTION DE PAGOS
</t>
  </si>
  <si>
    <t>Reducir
Compartir</t>
  </si>
  <si>
    <t xml:space="preserve">1. Solicitar a la dependencia encargada la instalacion de una puerta de control de acceso a la oficina . 
2. Solicitar a la dependencia encargada actualizar el protocolo de autorizacion de ingreso de visitantes al Instituto.
3, Actualizar documentos donde mencione el manejo y control de la elementos de custodia del Grupo de Tesorería. </t>
  </si>
  <si>
    <t>Memorandos
Documentación actualizada y cargada en el SGI</t>
  </si>
  <si>
    <t>Se planteo nuevo riesgo: Se radico memorando 20172050003963 solicitando ajustes en la reubicacion de los puestos de trabajo de los funcionarios del Grupo de Tesoreria e instalacion puerta para la Oficina.  Se estan adelantando la gestion de actualizacion de la documentacion de procedimiento Gestion de Pagos y el Instructivo Giro y Pago de Cheques.</t>
  </si>
  <si>
    <t>Desconocimiento en la legislacion tributaria actual para la revision de la liquidaciones de impuestos a cargo del Instituto.                                                                           Error en la determinacion del los impuestos a cargo del Instituto.</t>
  </si>
  <si>
    <t>Errores en la presentacion y pago de las declaraciones tributarias a nombre del Instituto</t>
  </si>
  <si>
    <t>Presentacion y pago con errores de las declaraciones de los impuestos generados en las cuentas de cobro de Contratistas, Proveedores y Nómina.</t>
  </si>
  <si>
    <t>Sanciones disciplinarias, fiscales y penales por incumplimiento y/o inexactitudes en las declaraciones y pagos de impuestos.</t>
  </si>
  <si>
    <t xml:space="preserve">1, A-GF-P013 PROCEDIMIENTO TRAMITE DE CUENTAS A PROVEEDORES Y/O CONTRATISTAS
2, A-GF-P005 PROCEDIMEINTO GESTION DE PAGOS
</t>
  </si>
  <si>
    <t>1- Fortalecer los controles establecidos para la revisión de  las cuentas de cobro para pago de Contratistas y Proveedores , con el fin de  identificar posibles errores en la liquidacion de impuestos a cargo del Instituto antes de realizar el pago.                                                               2. Realizar sensibilizacion sobre la limportancia de una correcta liquidacion de impuestos con los funcionarios que manejan el proceso.</t>
  </si>
  <si>
    <t>Cuadro control de liquidacion de impuestos</t>
  </si>
  <si>
    <t>El riesgo se planteo en Junio y se programo reunion de sensibilizacion para el 18 de Julio de 2017.</t>
  </si>
  <si>
    <t>Restricción del acceso del archivo de
historias laborales.
Verificar que la información registrada en las certificaciones laborales, esten de acuerdo a la historia laboral y a la información contenida en el contrato.</t>
  </si>
  <si>
    <t xml:space="preserve">
1, Definir el personal que tendrá acceso a las Historias Laborales así como su ingreso al área de Archivo de estas.
2. Controlar el préstamo de las historias laborales a través del formato de préstamos de expedientes código A-GH-F001.
4. Verificar las certificaciones laborales.  </t>
  </si>
  <si>
    <t xml:space="preserve"> 
Inventario físico y en el sistema Documental ORFEO de las historias laborales con sus respectivos soportes </t>
  </si>
  <si>
    <t xml:space="preserve">Verificación periódica de las historias laborales para verificar la legalidad de su documentación y control del préstamos de las mismas. </t>
  </si>
  <si>
    <t>Secretario Ejecutivo</t>
  </si>
  <si>
    <t xml:space="preserve">Diligenciamiento del formato control de préstamo de expedientes código A-GH-F001.
Abril: Solicitutes de Préstamo de 25 Historias Laborales 
Mayo: Solicitudes de Préstamo de 16 Historias Laborales 
Junio: Solicitudes de Préstamo de 15 Historias Laborales 
</t>
  </si>
  <si>
    <t xml:space="preserve">
*Seguimiento bimestral al cumplimiento de metas e indicadores de los planes, programas y proyectos relacionados con Gestión del Talento Humano.  
 *Implementación del formato de registro de avances para realizar seguimiento a la ejecuciòn de las actividades programadas de los Planes de Bienestar Social, Capacitación, Estimulos e Incentivos. 
*Seguimiento mensual a las actividades del Componente de Seguridad y Salud en el trabajo  </t>
  </si>
  <si>
    <t>ANUAL</t>
  </si>
  <si>
    <t>1. Verificar necesidades de capacitación, que estén alineadas con la misión y visión de la entidad, por parte de los lideres de proceso.
2. Ajustar los cronogramas de ejecución, teniendo en cuenta la periodicidad de las actividades.
3. Actualizar procedimientos conforme a la normatividad vigente y necesidades del instituto.
4. Seguimiento al procedimiento de los programas internos de capacitación cumpliendo con los requerimientos.
5. Se valida informaciòn encontrada acerca del SGSST en relaciòn a la definciiciòn de indicadores y su cumplimiento referentes a  las estadisticas medibles en esta arèa (accidentalidad, ausentismo, enefermdedad laboral, actividades programadas para la seguridad y salud en el trabajo.</t>
  </si>
  <si>
    <t xml:space="preserve">Cronogramas de Seguimiento
Ejecuciòn presupuestal actividades       </t>
  </si>
  <si>
    <t xml:space="preserve">
*Divulgar y promocionar las actividades del plan de bienestar para motivar la participación de los funcionarios. 
*Concertar el apoyo y sesiones de trabajo en el acompañamiento de los procesos contractuales.
*Verificación del cumplimiento y seguimiento a la ejecución de las actividades del PIC, PBS y del programa de SST.
*Aplicar los procedimientos de capacitación del personal, procedimiento de Bienestar Social, Procedimientos del SGSST.  
</t>
  </si>
  <si>
    <t xml:space="preserve">Plan de Bienestar
Presupuesto ejecutado/ Presupuesto asignado
0/131,600,000=0%
PIC
Presupuesto ejecutado/ Presupuesto asignado 
0/30,000,000=0%
Estimulos e incentivos
Presupuesto ejecutado/Presupuesto asignado
0/30,000,000= 0%
(Número incentivos otorgados/ Número funcionarios con derecho) *100           
No se ha presentado, ya que se realizo convocatoria para el mes de Mayo y se amplio palzo mes de Junio, con respecto a los estimulos e incentivos para los funcionarios.    </t>
  </si>
  <si>
    <t>Alertar tanto a evaluadores como a aquellos objeto de evaluación, sobre la fecha límite de realización y entrega de las evaluaciónes.</t>
  </si>
  <si>
    <t xml:space="preserve">1. Verificación del cumplimiento de los plazos normativos de las evaluaciones de desempeño.
2. Brindar capacitaciones dirigidas a los responsables de evaluar a los funcionarios.
</t>
  </si>
  <si>
    <t xml:space="preserve">
Capacitaciones realizadas sobre la evaluación de desempeño laboral en el Instituto.</t>
  </si>
  <si>
    <t>*Seguimiento al procedimiento de evaluación del desempeño laboral.</t>
  </si>
  <si>
    <t>Técnico Administrativo 14</t>
  </si>
  <si>
    <r>
      <rPr>
        <b/>
        <sz val="10"/>
        <rFont val="Arial Narrow"/>
        <family val="2"/>
      </rPr>
      <t>Capacitaciones realizadas sobre la evaluación de desempeño laboral en el Instituto.</t>
    </r>
    <r>
      <rPr>
        <sz val="10"/>
        <rFont val="Arial Narrow"/>
        <family val="2"/>
      </rPr>
      <t xml:space="preserve">
El 26 de diciembre se realizó el envío masivo de la circular 015 donde establece los tiempos, responsables y etapas del proceso de evaluación de desempeño para la vigencia 2017.
Se realizó capacitación el día 09 de Febrero de 2017 por parte de la Comisión Nacional del Servicio Civil  sobre el diligenciamiento y remisión de las EDL de acuerdo a los requermientos  que se definen en el Acuerdo 565 del 25 enero de 2016, proferido por la CNSC, se tiene un constante apoyo por parte de la CNSC.
Se realiza seguimiento, con base a la evaluaciones de desempeño se realizó solicitud de los Planes de  mejoramiento individual  mediante memorando 20172020003003 con fecha del 08 de Mayo de 2017, atendiendo a lo establecido en el Acuerdo 137 del 14 de enero de 2010, emitido por la CNSC, ell cual debe ser orientado a fotalecer las acciones y herramientas para el cumplimiento de los compromisos laborales y asi mismo fortalecer las competencias comportamentales. 
</t>
    </r>
  </si>
  <si>
    <t>Desarrollar jornadas de sensibilización dirigidas a los Gerentes Públicos y a los superiores jerárquicos responsables de concertar los Acuerdos de Gestión, con el fin de que cumplan con el objetivo del proceso y la normatividad vigente sobre la materia. a la vez realizar  seguimiento de la planeación institucional, lo que permitirá a su vez,
darle mayor coherencia a los sistemas de evaluación y control que establezca el Instituto.</t>
  </si>
  <si>
    <t xml:space="preserve">1. De acuerdo a la Guía metodológica para la Gestión del Rendimiento de los Gerentes Públicos Acuerdos de Gestión, realizar la concertación, Formalización, Seguimiento y retroalimentación, y la respectiva  Evaluación
</t>
  </si>
  <si>
    <t xml:space="preserve"> 
Seguimiento a los Acuerdos de Gestión
</t>
  </si>
  <si>
    <t xml:space="preserve">*Suscribir, formalizar y hacer seguimiento a los Acuerdos de Gestión entre el Gerente Público y el
Superior Jerárquico a través de la concertación y posterior evaluación de los compromisos
asumidos por los servidores públicos, en el marco del Plan Nacional de Desarrollo, el Plan
Estratégico Sectorial, el Plan Estratégico Institucional y el Plan de Acción Anual de la Entidad. </t>
  </si>
  <si>
    <t xml:space="preserve">Seguimiento y Retroalimentación de Compromisos Gerenciales semestrales o en el momento que considere pertinente, cuyo avance se registrará con sus respectivas evidencias. </t>
  </si>
  <si>
    <t xml:space="preserve"> 1. Documentación incompleta y mal diligenciamiento del formato de afiliación. 
2. Error humano
3. Reporte inoportuno de la novedad de traslado. </t>
  </si>
  <si>
    <t>Demoras en el trámite de afiliaciones y del reporte de la novedad de traslado al Sistema General de Seguridad Social y Riesgos profesionales.</t>
  </si>
  <si>
    <t xml:space="preserve">No afiliar oportunamente  a los trabajadores al Sistema General de Seguridad Social y Riesgos profesionales teniendo en cuenta la normatividad legal vigente. </t>
  </si>
  <si>
    <t xml:space="preserve">
1. Sanciones legales
2.Demandas
3. Multas
4. Detrimento patrimonial</t>
  </si>
  <si>
    <t xml:space="preserve">  
*Radicado del formulario de la afiliación con sello EPS y ARL.
*Registro de los datos de los nuevos funcionario al Sistema Perno.
*Archivar en las historias laborales de cada funcionario los  formatos de afiliación a EPS y ARL. 
*Con las solicitudes de traslado de Eps, una vez radicado el respectivo formulario un mes despues nos comunicamos con la Eps para verificar el estado de este o atravez de la plataforma BDUA.
*Creación de expediente  por funcionario.</t>
  </si>
  <si>
    <t xml:space="preserve">1. Fortalecer el control con la verificación y seguimiento del diligenciamiento de los formularios de afiliación, remitidos por cada uno de los funcionarios.
</t>
  </si>
  <si>
    <t>Formularios de afiliación al Sistema General de Seguridad Social y Riesgos profesionales.
Formulario radicado ante la EPS de la solicitud del traslado</t>
  </si>
  <si>
    <t>Realizar tareas de seguimiento, colaboración y determinación de la oportuna y correcta afiliación al Sistema General de Seguridad Social y Riesgos profesionales con los soportes y documentos correspondientes.</t>
  </si>
  <si>
    <t xml:space="preserve">Número de solicitudes de traslados radicadas/Nùmero de solicitudes de traslados aprobados.
AbrilL: 27 solicitudes de traslado radicadas / 27 solicitudes de traslados aprobados.
Mayo: 3 solicitudes de traslado radicadas / 3 solicitudes de traslados aprobados.
Junio: 2 solicitudes de traslado radicadas / 2 solicitudes de traslados aprobados.
N° de afiliaciones realizadas al Sistema General de Seguridad Social  / N° funcionarios nuevos.
Abril: 1 afiliación realizada / 1 funcionario nuevo del area opertiva 5. 
Mayo:1 afiliación realizada / 1 funcionario nuevo Subdirección de Ecosistemas e información ambiental.
Junio:1 afiliación realizada/ 1 funcionario nuevo Grupo de Contabilidad.
</t>
  </si>
  <si>
    <t>04/08/2017</t>
  </si>
  <si>
    <t>Fecha:02/05/2017</t>
  </si>
  <si>
    <t>Servicios - Pronósticos</t>
  </si>
  <si>
    <t>Jefe Oficina de Pronósticos y Alertas</t>
  </si>
  <si>
    <t>No tener la información de salidas de los modelos numéricos para las aplicaciones específicas (modelos de deslizamientos, incendios y pronósticos).</t>
  </si>
  <si>
    <t>1- Fallas tecnicas en los servidores o problemas para el acceso a la información por parte de los usuarios internos (página web, equipo imágenes, sistema hydras, equipo wafs, estaciones de sondeo). 2- información desactualizada por el proveedor del dato base.</t>
  </si>
  <si>
    <t>No contar con la información oportuna de insumos para la generación de pronósticos de información hidrometeorológica y ambiental.</t>
  </si>
  <si>
    <t>1- Mayor impacto negativo ante un fenómeno natural por falta de información oportuna para la generación de alertas y por lo tanto mitigar el riesgo. 2- falta de información oportuna para la toma de decisiones por parte de los sectores productivos que los requieran.</t>
  </si>
  <si>
    <t>1-Turnos de personal de Informática que ejercen vigilancia sobre la operación continua de los equipos. 2- Vigilancia continua sobre la operación de los equipos. 3- Generación de reportes de fallas técnicas 4- Uso de herramientas alternas para generar la información.</t>
  </si>
  <si>
    <t>Plan de contingencia para la generación de reportes</t>
  </si>
  <si>
    <t xml:space="preserve">Número de reportes generados, aplicando el plan de contingencia para la consecución de información / número de reportes esperados </t>
  </si>
  <si>
    <t xml:space="preserve">Con corte a 30-06-2017, se han generado todos los informes y boletines técnicos y especializados sobre alertas hidrometeorológicas, pronósticos del estado del tiempo, diagnósticos y análisis del clima y sobre pronósticos y alertas en forma directa y a través de la página Web del Instituto y de los distintos medios de comunicación. Se utilizan diversas herramientas para su la generación de información, lo cual permite asegurar que se cumpla con el suministro de información de vital importancia. En caso de fallas tecnológocas, se cuenta con contacto directo y permamente (correo electrónico y celular) con la oficina de Informática lo que permite   darle solución pronta a la situación anómala. Adicionalmente, ha venido verificando en forma periódica, la actualización  de la información suministrada de los productos OSPA a traves de la página WEB del Ideam,  el SUIT y el SIVIRTUAL; de lo que se cuenta con registro en la ruta: X:\Pronosticos y Alertas\ARCHIVOS FUNCIONARIOS\WILLIAM\PRODUCTOS OFRECIDOS VÍA WEB.                                                                                      </t>
  </si>
  <si>
    <t>OSPA</t>
  </si>
  <si>
    <t xml:space="preserve">Número de reportes generados por  la contingencia para la consecución de información / número de soluciones reportadas </t>
  </si>
  <si>
    <t>Falta de personal de planta para  prestar el servicio de pronósticos y alertas.</t>
  </si>
  <si>
    <t>Poca Periodicidad en el seguimiento a las condiciones hidrometeorológicas y ambientales.</t>
  </si>
  <si>
    <t>Poca Periodicidad en el seguimiento a las condiciones meteorológicas adversas detectadas en los reportes de pronósticos y alertas diarios.</t>
  </si>
  <si>
    <t xml:space="preserve">1- Prioridad de las subdirecciones a la programación de los turnos en el Servicio para no mezclar con otras actividades. 2- Asegurar los presupuestos para la contratacvión del personal. </t>
  </si>
  <si>
    <t>Programar turnos emergentes para cuando algún funcionario no pueda prestar el turno.</t>
  </si>
  <si>
    <t>Informes elaborados / informes esperados.</t>
  </si>
  <si>
    <t xml:space="preserve">Con la programación de turnos, se lográ atender el desarrollo de las  actividades en la Oficina del Servicio de Pronósticos y Alertas, asociadas al monitoreo y seguimiento continuo de la información meteorológica, hidrológica y ambiental en tiempo real y mantener vigilancia permanente sobre el estado y evolución de las condiciones hidrometeorológicas y la correspondiente difusión de los productos generados. Adicinalmente a esto, se cuenta con un gran equipo humano y solidario que ante cualquier eventualidad  en el cumplimiento de los turnos programado con anterioridad, siempre se ha contado con el apoyo incondicional de los compañeros; es decir nunca se ha dejado  de cumplir con los turnos estipulados  que afecten el normal desarrollo de los objetivos de la OSPA. </t>
  </si>
  <si>
    <r>
      <t>*</t>
    </r>
    <r>
      <rPr>
        <b/>
        <sz val="9"/>
        <rFont val="Arial"/>
        <family val="2"/>
      </rPr>
      <t xml:space="preserve"> Durante el segundo trimestre la Oficina de Informática, </t>
    </r>
    <r>
      <rPr>
        <sz val="9"/>
        <rFont val="Arial"/>
        <family val="2"/>
      </rPr>
      <t xml:space="preserve">
1. Ha implementado el servicio de centro de datos alterno, a través de la ejecución del contrato interadministrativo 083 de 2017, para el grupo de servidores críticos, con los componentes tecnológicos requeridos para la operación, entre ellos, red de datos de 40 Mbps, red de Internet de 20 Mbps, centro de monitoreo, mesa de servicio, centro de operación alterno. Esta implementación se llevó a cabo en un sitio con características de TIER 3, garantizando la continuidad de los servicios críticos misionales del Instituto; adicionalmente se cuenta con la documentación pertinente (esta documentación no se entregará como evidencia, dada la criticidad de la información que se encuentra inmersa en la misma, puesto que los componentes internos de los documentos entregados por la consultoría Infotic, son de origen táctico operativo en cuanto a su infraestructura tecnológica).
 </t>
    </r>
    <r>
      <rPr>
        <b/>
        <sz val="9"/>
        <rFont val="Arial"/>
        <family val="2"/>
      </rPr>
      <t xml:space="preserve">Las evidencias descritas a continuación son de etiquetadas como información privilegiada del proyecto por lo que solo se mencionaran, en caso de requerir algún tipo de evidencia se puede solicitar a la oficina de informática.
</t>
    </r>
    <r>
      <rPr>
        <sz val="9"/>
        <rFont val="Arial"/>
        <family val="2"/>
      </rPr>
      <t xml:space="preserve">
• Procedimiento de activación Plan de Contingencia IDEAM
• Procedimiento de backups y restauración de información
• Procedimiento de Failover y FailBack  IDEAM
2. Se relacionan las actividades realizadas en desarrollo de l del contrato 389/2016 suscrito con la unión temporal procalculo  - mvm.
a)       Se realizó el seguimiento de supervisión al proyecto en frecuencia semanal  (Evidencia No. 1).  
b)       Se definieron de manera conjunta UT con las áreas funcionales e informática del IDEAM,  las estructuras de las etiquetas de series de tiempo de los archivos de datos para la migración del banco de daos hidrológico y meteorológico de la entidad a DHIME (Evidencia No. 2). 
c)      Se alcanzó un avance del 76% en la fase de afinamiento de requerimientos mediante la realización de 114 mesas de trabajo para temas de afinamiento de requerimientos, control de cambios, migración y  arquitectura;  se obtuvo la aprobación del diseño de los flujos: catálogo nacional de estaciones y administración y operación de la red hidrometeorológica.  (Evidencia No. 3) 
d)       En relación con la gestión de cambio,  se adelantaron reuniones con los Jefes de las dependencias involucradas en DHIME con el fin de obtener la identificación de expectativas, la caracterización de los grupos de interés (objetivo), la aprobación del plan de trabajo de gestión de cambio alineado al plan de proyecto DHIME, se realizó el concurso para el cambio de nombre del proyecto de SGDHM a DHIME y  se realizó el taller de levantamiento de impacto con los líderes funcionales (Evidencia No. 4)
</t>
    </r>
    <r>
      <rPr>
        <b/>
        <sz val="9"/>
        <rFont val="Arial"/>
        <family val="2"/>
      </rPr>
      <t>Las evidencias descritas a continuación son de etiquetadas como información privilegiada del proyecto por lo que solo se mencionaran, en caso de requerir algún tipo de evidencia se puede solicitar a la oficina de informática.</t>
    </r>
    <r>
      <rPr>
        <sz val="9"/>
        <rFont val="Arial"/>
        <family val="2"/>
      </rPr>
      <t xml:space="preserve">
No. 1 Los documentos soporte se encuentran disponibles en la ubicación:  
Informes Gerente de proyecto carpetas Pagos_3, Pagos_4 y Pagos_5 bajo la ruta: M:\OF_INFORMATICA\Compartida\SGDHM\1_GerenteProyecto
No. 2 Los documentos soporte se encuentran disponibles en la ubicación: 
M:\OF_INFORMATICA\Compartida\SGDHM\Migracion\0_documentacion_Oficial_UT
No 3. Informes Gerente de proyecto carpetas Pagos_3, Pagos_4 y Pagos_5 bajo la ruta: M:\OF_INFORMATICA\Compartida\SGDHM\1_GerenteProyecto
Actas de mesas de trabajo: M:\OF_INFORMATICA\Compartida\SGDHM\Requerimientos_Actas
No. 4 : Informe de expectativas en: 
F:\1_IDEAM\00_SIA IDEAM\00_SIA DEL 2017\0_SGDHM\00_EjecucionContrato_389_2016\Capacitacion-GestionCambio\Productos\Informe de expectativas
Grupos de interés:
F:\1_IDEAM\00_SIA IDEAM\00_SIA DEL 2017\0_SGDHM\00_EjecucionContrato_389_2016\Capacitacion-GestionCambio\Productos\Grupos de Interés
Plan de trabajo:
F:\1_IDEAM\00_SIA IDEAM\00_SIA DEL 2017\0_SGDHM\00_EjecucionContrato_389_2016\Capacitacion-GestionCambio\PlanTrabajo
Talleres de Impacto:
F:\1_IDEAM\00_SIA IDEAM\00_SIA DEL 2017\0_SGDHM\00_EjecucionContrato_389_2016\Capacitacion-GestionCambio\Productos\Talleres de impacto
</t>
    </r>
  </si>
  <si>
    <t>*Deficiente definición de políticas de uso de las TI.
* No realizar actualzaciones a la política de seguridad y Privacidad de la información.
*Deficiencias en el desarrollo o adquisición de TI.
*Inadecuado acceso de los usuarios a las herramientas informáticas. 
*Falta de una infraestructura tecnológica adecuada</t>
  </si>
  <si>
    <t>Pérdida de integridad, disponibilidad y uso inadecuado o indebido de la información.</t>
  </si>
  <si>
    <t>Que la información no cumpla con los requisitos de calidad  y seguridad
*Que la politica de seguridad no esta alineada con las necesidades y los requisitos del Instituto en materia de seguridad de la información.</t>
  </si>
  <si>
    <t>*Falta de credibilidad y confianza en cuanto al apoyo del área. 
*Perdida de imagen y credibilidad del Instituto.
* Materializacion de riesgos asociados seguridad de la información</t>
  </si>
  <si>
    <t xml:space="preserve">* Auditoría a las políticas de seguridad y privacidad de la información
* Gestión de incidentes de seguridad.
</t>
  </si>
  <si>
    <t>*Realización de las auditorias planeadas en el año.
*Registrar e investigar los incidentes de seguridad reportados.
*Contar con un contrato de custodia de información con Entidad Externa
*Sensibilización a los servidores publicos del Instituto sobre seguridad  de la información.
* Realizar Tip´s de seguridad , para su difusión.</t>
  </si>
  <si>
    <t>No. de políticas auditadas en la vigencia</t>
  </si>
  <si>
    <t>* No contar con condiciones ténicas, y administrativas idoneas. 
* Desconocimiento de la normatividad vigente interna y externa.
* La no radicacion de documentos en los canales habilitados para radicacion de comunicaciones.
*Desconocimiento y/o renuencia del uso del Sistema de Gestión Documental por parte de los usuarios.</t>
  </si>
  <si>
    <t>Inadecuada manipulacion y administración de la documentacion Institucional por parte de las dependencias.</t>
  </si>
  <si>
    <t>Administrar de manera inadecuada la producción, trámite, almacenamiento digítal, recuperación, consulta y custodia de la documentacion Institucional.</t>
  </si>
  <si>
    <t>*Perdida de la documentación.
* Sobrecostos de insumos.
* Reprocesos en las actividades. 
* Procesos disciplinarios por perdida de documentos institucionales.</t>
  </si>
  <si>
    <t xml:space="preserve"> *Aplicar el procedimiento de Gestión Documental.
*Circulares.
*Seguimiento a través del aplicativo ORFEO.
*Viista a las oficinas 
*Informe de visitas a las oficinas</t>
  </si>
  <si>
    <t>Intranet / ORFEO
Planillas de asistencia
Correo masivo</t>
  </si>
  <si>
    <t xml:space="preserve">Coordinador Grupo Documentación, Archivo y Correspondencia
</t>
  </si>
  <si>
    <t>* Falta de energia.
* Fallo en la conexión de Red interna.
* Que el servidor no tenga la capacidad para el almacenamiento de las imágenes.
*Fallo de conexión con el Sistema de Gestión Documental Orfeo y el Orfeoscan.</t>
  </si>
  <si>
    <t xml:space="preserve">No poder utilizar los aplicativos para realiazar actividades de digitalización y radicación de correspondencia institucional. </t>
  </si>
  <si>
    <t>No poder radicar ni digitalizar los documentos instititucionales</t>
  </si>
  <si>
    <t>* No poder dar respuesta a las solicitudes de los usuarios interno y externos del Instituto.
* Represeamiento de documentos para radicar y digitalizar.
* Represamiento de los documentos para archivar y organizar en físico.</t>
  </si>
  <si>
    <t>*Informar a la Oficina de Informática sobre las fallas.
*Soporte brindado por la Oficina de Informática.</t>
  </si>
  <si>
    <t xml:space="preserve">Alertas a la Oficina de Informática.
Back up de imagines </t>
  </si>
  <si>
    <t>*Sistema KOHA modulo circulación y prestamo.
*Ficha generada por el sistema firmada por el ususario.
*Alertas del sistema.
*Correos electrínicos.</t>
  </si>
  <si>
    <t xml:space="preserve">
Se enviaron correos con anticipación recordando la fecha de entrega oportuna de los documentos.</t>
  </si>
  <si>
    <t>Correos funcionarios</t>
  </si>
  <si>
    <t>abril-junio</t>
  </si>
  <si>
    <t>*Seguimiento a PQR del Centro de Documentación.
*Correos electrónicos. solicitando la información.
*Instructivo Distribución de publicaciones institucionales.</t>
  </si>
  <si>
    <t>SGI</t>
  </si>
  <si>
    <r>
      <t xml:space="preserve">No se presento maeterialización del riesgo en el periodo de medición pero se realizarón las siguientes acciones en procura de la mejora continua en el seguimiento y la medición del riesgo.  </t>
    </r>
    <r>
      <rPr>
        <b/>
        <sz val="10"/>
        <rFont val="Arial"/>
        <family val="2"/>
      </rPr>
      <t xml:space="preserve">                       1.</t>
    </r>
    <r>
      <rPr>
        <sz val="10"/>
        <rFont val="Arial"/>
        <family val="2"/>
      </rPr>
      <t xml:space="preserve"> </t>
    </r>
    <r>
      <rPr>
        <b/>
        <sz val="10"/>
        <rFont val="Arial"/>
        <family val="2"/>
      </rPr>
      <t xml:space="preserve">Se diseñaron los formatos: </t>
    </r>
    <r>
      <rPr>
        <sz val="10"/>
        <rFont val="Arial"/>
        <family val="2"/>
      </rPr>
      <t xml:space="preserve">
A. Seguimiento y control de autos interlocutorios y de sustanciación 
B. Seguimiento y control de oficios y memos
Se enviarán en el presente avance a la oficina asesora de planeación para que se aprueben y se codifique como formatos del proceso del Sistema Gestión Integrado en el Proceso de Control Disciplinario Interno del IDEAM. </t>
    </r>
    <r>
      <rPr>
        <b/>
        <sz val="10"/>
        <rFont val="Arial"/>
        <family val="2"/>
      </rPr>
      <t>2.</t>
    </r>
    <r>
      <rPr>
        <sz val="10"/>
        <rFont val="Arial"/>
        <family val="2"/>
      </rPr>
      <t xml:space="preserve"> </t>
    </r>
    <r>
      <rPr>
        <b/>
        <sz val="10"/>
        <rFont val="Arial"/>
        <family val="2"/>
      </rPr>
      <t>Así mismo fue necesario</t>
    </r>
    <r>
      <rPr>
        <sz val="10"/>
        <rFont val="Arial"/>
        <family val="2"/>
      </rPr>
      <t xml:space="preserve"> entendiendo el mejoramiento continuo que merece el proceso de apoyo de la Gestión Disciplinaria Interna del IDEAM y como producto del seguimiento del SGI, socilito a la Oficina Asesora de Planeación la modificación en el Tablero de Indicadores publicado en el SGI, la forma como está planteado el indicador de eficiencia denominado 
Gestión del Proceso el cual se encuentra formulado como (Número de procesos en curso/ Número de procesos instruidos) * 100, en este sentido, el mismo deberá quedar descrito como (Número de procesos instruidos / Número de procesos en curso) * 100, con lo que se garantiza la medición de los productos de la gestión del Grupo.  </t>
    </r>
  </si>
  <si>
    <t xml:space="preserve">Correo electronico de envio fecha 07 de abril de 2017  - MEMORANDO N° 481
20172010003343 de 05 de julio de 2017
</t>
  </si>
  <si>
    <t xml:space="preserve">Se codificarón en el SGI para que hagan parte de los controles de los riesgos de Gestión y Anticorrupción y medición de los indicadores del proceso de Gestión Disciplinaria Interna los Formato A-CID-F006 Seguimiento y Control a Oficios y/o Memorandos  - Formato A-CID-F007 seguimiento a Autos Interlocutorios y/o de Sustanciació.   
</t>
  </si>
  <si>
    <t>Formato A-CID-F006 Seguimiento y Control a Oficios y/o Memorandos Memorando de declaratoria de impedimento (Orfeo); Auto o Resolución aceptando o negando el impedimento por parte de la Primera Instancia Disciplinaria ó del Director General, según el caso (Debe reposar en cada expediente donde obre impedimento).</t>
  </si>
  <si>
    <r>
      <t xml:space="preserve">Para el primer semestre de 2017, fue necesario aplicar los Controles para evitar la materialización del riesgo en los expedientes SG-09 2015, SG-13-2015 y SG-64-2014, en este sentido se remitierón los memorandos 20172000000025 de 25 de enero de 2017, 20172010003093 de 16 de julio de 2017 y 20172010003643 de 18 de julio de 2017 respectivamente.                                                                   Así mismo en el periodo de medición  se realizarón las siguientes acciones en procura de la mejora continua en el seguimiento y la medición del riesgo.     </t>
    </r>
    <r>
      <rPr>
        <b/>
        <sz val="10"/>
        <rFont val="Arial"/>
        <family val="2"/>
      </rPr>
      <t>1. Se diseñaron los formatos</t>
    </r>
    <r>
      <rPr>
        <sz val="10"/>
        <rFont val="Arial"/>
        <family val="2"/>
      </rPr>
      <t xml:space="preserve">: 
A. Seguimiento y control de autos interlocutorios y de sustanciación 
B. Seguimiento y control de oficios y memos
Se enviarán en el presente avance a la oficina asesora de planeación para que se aprueben y se codifique como formatos del proceso del Sistema Gestión Integrado en el Proceso de Control Disciplinario Interno del IDEAM. </t>
    </r>
    <r>
      <rPr>
        <b/>
        <sz val="10"/>
        <rFont val="Arial"/>
        <family val="2"/>
      </rPr>
      <t>2. Así mismo fue necesario</t>
    </r>
    <r>
      <rPr>
        <sz val="10"/>
        <rFont val="Arial"/>
        <family val="2"/>
      </rPr>
      <t xml:space="preserve"> entendiendo el mejoramiento continuo que merece el proceso de apoyo de la Gestión Disciplinaria Interna del IDEAM y como producto del seguimiento del SGI, socilito a la Oficina Asesora de Planeación la modificación en el Tablero de Indicadores publicado en el SGI, la forma como está planteado el indicador de eficiencia denominado 
Gestión del Proceso el cual se encuentra formulado como (Número de procesos en curso/ Número de procesos instruidos) * 100, en este sentido, el mismo deberá quedar descrito como (Número de procesos instruidos / Número de procesos en curso) * 100, con lo que se garantiza la medición de los productos de la gestión del Grupo.    </t>
    </r>
  </si>
  <si>
    <t xml:space="preserve">Correo electronico de envio fecha 07 de abril de 2017  -  los memorandos 20172000000025 de 25 de enero de 2017, 20172010003093 de 16 de julio de 2017 y 20172010003643 de 18 de julio de 2017 respectivamente. </t>
  </si>
  <si>
    <t xml:space="preserve">06 DE ABRIL DE 2017 -   25 de enero de 2017, 16 de julio de 2017 y el 18 de julio de 2017 </t>
  </si>
  <si>
    <t xml:space="preserve">Para el primer semestre de 2017, fue necesario aplicar los Controles para evitar la materialización del riesgo en los expedientes SG-09 2015, SG-13-2015 y SG-64-2014, en este sentido se remitierón los memorandos 20172000000025 de 25 de enero de 2017, 20172010003093 de 16 de julio de 2017 y 20172010003643 de 18 de julio de 2017 respectivamente.  Así mismo se codificarón en el SGI para que hagan parte de los controles de los riesgos de Gestión y Anticorrupción y medición de los indicadores del proceso de Gestión Disciplinaria Interna los Formato A-CID-F006 Seguimiento y Control a Oficios y/o Memorandos  - Formato A-CID-F007 seguimiento a Autos Interlocutorios y/o de Sustanciació.      
</t>
  </si>
  <si>
    <t xml:space="preserve">Formato A-CID-F007 Seguimiento a Autos Interlocutorios y/o de Sustanciación. Y Sistema de Gestión Documental Orfeo. -                                     Correo electronico de envio fecha 07 de abril de 2017  - MEMORANDO N° 481
20172010003343 de 05 de julio de 2017 </t>
  </si>
  <si>
    <t xml:space="preserve">Se proyectarón dos dos Autos decidiendo dos solicitudes de nulidada las cuales negarón las pretenciones del accionante como consta en los Autos  N°031 de 27 de marzo de 2017 y    N° 050 de 12 de mayo de 2017 , relacionados en el Formato A-CID-F007 Seguimiento a Autos Interlocutorios y/o de Sustanciación-  Se codificarón en el SGI para que hagan parte de los controles de los riesgos de Gestión y Anticorrupción y medición de los indicadores del proceso de Gestión Disciplinaria Interna los Formato A-CID-F006 Seguimiento y Control a Oficios y/o Memorandos  - Formato A-CID-F007 seguimiento a Autos Interlocutorios y/o de Sustanciació.  </t>
  </si>
  <si>
    <r>
      <t xml:space="preserve">Para el primer semestre de 2017, fue necesario aplicar los Controles para evitar la materialización del riesgo en materia de Nulidades, en el expediente SG-025-2013, ya que el Investigado a través de su apoderado radico un memorial el día 21 de marzo solicitando una nulidad dentro del proceso en sobre sellado identificado con radicado orfeo N° 20179910037792, la cual fue decidida y negada mediante Auto N°031 de 27 de marzo de 2017. Posterior mente el apoderado del investigado radica en la ventanilla de correspodenca una nueva solicitud de nulidad en sobre sellado el día 05 de mayo de 2017 con N° 20179910060282 la cual es resuelta mediante Auto N° 050 de 12 de mayo de 2017 negando la pretención del apoderado.                                         Así mismo se realizarón las siguientes acciones en procura de la mejora continua en el seguimiento y la medición del riesgo.                                            </t>
    </r>
    <r>
      <rPr>
        <b/>
        <sz val="10"/>
        <rFont val="Arial"/>
        <family val="2"/>
      </rPr>
      <t>1.</t>
    </r>
    <r>
      <rPr>
        <sz val="10"/>
        <rFont val="Arial"/>
        <family val="2"/>
      </rPr>
      <t xml:space="preserve"> Se diseñaron los formatos: 
</t>
    </r>
    <r>
      <rPr>
        <b/>
        <sz val="10"/>
        <rFont val="Arial"/>
        <family val="2"/>
      </rPr>
      <t>A</t>
    </r>
    <r>
      <rPr>
        <sz val="10"/>
        <rFont val="Arial"/>
        <family val="2"/>
      </rPr>
      <t xml:space="preserve">. Seguimiento y control de autos interlocutorios y de sustanciación 
</t>
    </r>
    <r>
      <rPr>
        <b/>
        <sz val="10"/>
        <rFont val="Arial"/>
        <family val="2"/>
      </rPr>
      <t>B.</t>
    </r>
    <r>
      <rPr>
        <sz val="10"/>
        <rFont val="Arial"/>
        <family val="2"/>
      </rPr>
      <t xml:space="preserve"> Seguimiento y control de oficios y memos
Se enviarán en el presente avance a la oficina asesora de planeación para que se aprueben y se codifique como formatos del proceso del Sistema Gestión Integrado en el Proceso de Control Disciplinario Interno del IDEAM. </t>
    </r>
    <r>
      <rPr>
        <b/>
        <sz val="10"/>
        <rFont val="Arial"/>
        <family val="2"/>
      </rPr>
      <t>2.</t>
    </r>
    <r>
      <rPr>
        <sz val="10"/>
        <rFont val="Arial"/>
        <family val="2"/>
      </rPr>
      <t xml:space="preserve"> Así mismo fue necesario entendiendo el mejoramiento continuo que merece el proceso de apoyo de la Gestión Disciplinaria Interna del IDEAM y como producto del seguimiento del SGI, socilito a la Oficina Asesora de Planeación la modificación en el Tablero de Indicadores publicado en el SGI, la forma como está planteado el indicador de eficiencia denominado 
Gestión del Proceso el cual se encuentra formulado como (Número de procesos en curso/ Número de procesos instruidos) * 100, en este sentido, el mismo deberá quedar descrito como (Número de procesos instruidos / Número de procesos en curso) * 100, con lo que se garantiza la medición de los productos de la gestión del Grupo.  </t>
    </r>
  </si>
  <si>
    <t xml:space="preserve">SISTEMA DE GESTIÓN DOCUMENTAL ORFEO, COPIA FISICA EN EL EXPEDIENTE DE LA SOLICITUD Y FORMATO A-CID-F007 Seguimiento a Autos Interlocutorios y/o de Sustanciación.   </t>
  </si>
  <si>
    <t>En el trimestre se reliazó verificación de la información registrada en SICAPITAL módulo Almacén Vs Contabilidad información que se encuentra conciliada hasta el 30 de junio de 2017. De igual manera se realizarón las conciliaciones bancarias con corte a junio 30 de 2017.</t>
  </si>
  <si>
    <t xml:space="preserve">* Se han realizado en los dos priemros trimestres de año 2017, 11 (once) talleres sobre Normatividad PQRS, Procedimiento Atención la Ciudadano y reporte en Formato de Registro Ordenado de PQRS para cada unas de las dependencias del Instituto, la cuales hacen parte del cronograma de trabajo del plan de capacitaciones para la vigencia.
* Por otra parte y en cumplimiento al seguimiento detallado del estado de las peticiones, el 25 de abril y el día 28 de julio de 2017 se presentó a la Secretaría General (Evidencia:20172090000583 y 20172090001183), el resultado analizado del primer y segundo trimestre del año 2017, con el fin de dar reporte correspondiente y tomar correctivos tendientes a insistir en la necesidad de contestar dentro de términos.
* Se presentó el cronograma de capacitaciones de PQRS las cuales a la fecha de corte del presente informe, se realizaron 11, en la cuales se detectó los temas que aún se en ecuentran débiles y así preparar con base en estas, un nuevo plan de refuerzos de capacitaciones, las cuales estarán orientados a mejorar también las acciones en contra de los actos de corrupción.
* Se realizó informe detallado de la actividad de seguimiento de las solicitudes con respuesta extemporánea, correspondiente al priemer y segundo trimestre de 2017 por medio del Orfeo 20172090000583 y 20172090001183, asi mismo por medio de comunicación oficial Ofeo 20172000000473  se requerió a las dependencias la  Justificación PQRS por Fuera de Término Primer Trimestre de 2017, teniendo como resultado las comunicaciones de las dependencias que para dicho trimestre tenían peticiones por fuera de término.
* El porcentaje para el INDICADOR de este riesgo dió como resultado para el primer trimestre: 99,91% teniendo en cuenta que: (Número de PQRS contestadas dentro del termino: 10.919 / Numero de PQRS recibidas: 10.929) *100 y  para el segundo trimestre: 99,66% teniendo en cuenta que: (Número de PQRS contestadas dentro del termino: 8.000/ Numero de PQRS recibidas: 8.027) *100. </t>
  </si>
  <si>
    <t xml:space="preserve">* El GATEC realiza la medición del Nivel de Satisfacción de Usuarios del IDEAM de forma semestral, finalizando los dos semestres de cada vigencia.
Así las cosas para el presente corte de monitoreo, se reporta el último realizado en ENE-JUN 2017, por medio de encuesta virtual; en dicho ejercicio, se realizó la medición del NSU del primer semestre de 2017, arrojando este resultados como: El 84,9% de los ciudadanos manifiesta estar muy satisfecho  con el servicio ofrecido por la entidad, y que cada visita agregó valor a la atención.  
De la misma forma se envidencia por medio de dicha encuesta que el 84,7 % de los ciudadanos consideran que los trámites y servicios de la entidad tienen en cuenta su realidad".  
Ver: www.ideam.gov.co SECCIÓN: PARTICIPACION CIUDADANA
https://docs.google.com/forms/d/e/1FAIpQLSe94m8TiuwxZdaPDbSZK6P8JZKHrOnAlHA-kNOk4vQbIqlUGQ/viewform
*  Se ralizaron en este trimestre 11 (once) talleres sobre Normatividad PQRS, Procedimiento Atención la Ciudadano y reporte en Formato de Registro Ordenado de PQRS para cada unas de las dependencias del Instituto.
* Se publicaron en el SGI, 10 plantillas de respuesta, para que los funcionarios las utilicen en los diferentes tipos de respuesta que puedan presentarse ante las solicitudes de los usuarios.
Evidencia: goo.gl/VHZYSs
*El porcentaje para el INDICADOR de este riesgo dió como resultado para este Trimestre: El 84,9%  teniendo en cuenta que los ciudadanos manifiestron estar muy satisfechos con el servicio ofrecido por la entidad (Total de encuestados con respuesta aceptable: 131/Total de encuestados:155)*100
</t>
  </si>
  <si>
    <t xml:space="preserve">*  Se ralizaron en este trimestre 11 (once) talleres sobre Normatividad PQRS, Procedimiento Atención la Ciudadano y reporte en Formato de Registro Ordenado de PQRS para cada unas de las dependencias del Instituto.
*  Por otra parte y en cumplimiento al seguimiento detallado del estado de las peticiones, el 25 de abril y el día 28 de julio de 2017 se presentó a la Secretaría General (Evidencia:20172090000583 y 20172090001183), el resultado analizado del primer y segundo trimestre del año 2017, con el fin de dar reporte correspondiente y tomar correctivos tendientes a insistir en la necesidad de contestar dentro de términos.
* Las denuncias de Actos de Corrupción reportadas para el primer y segundo trimestre de 2017, fueron Cero (0), dato que fue certificado por la Oficina de Control Disciplinario Interno, por medio de comunicación oficial emitida el día 12 de abril de 2017, por medio de los radicados 20172010001953 y 20172010003603; Para tal efecto se puso a disposición de la ciudadanía el link de DENUNCIAS DE ACTOS DE CORRUPCIÓN el cual se encuentra la página WEB del IDEAM en la sección PARTICIPACIÓN CIUDADANA, específicamente en: http://www.ideam.gov.co/web/atencion-y-participacion-ciudadana/denuncias-de-actos-de-corrupcion, este link con el fin de que los usuarios, puedan presentar una denuncia relacionada con posibles Actos de Corrupción, presuntamente cometidos por Servidores Públicos del Instituto de Hidrología, Meteorología y Estudios Ambientales IDEAM, en el desempeño de sus funciones, acción que pueden realizar a través del siguiente correo electrónico: denunciacorrupcion@ideam.gov.co
La persona encargada de atender las denuncias, es la servidora Teresita Paba Lizarazo, Coordinadora del Grupo de Control Disciplinario Interno, a quien puede ubicar en la Calle 25D No. 96B - 70, Piso 3, en un horario de 8:00 a.m. a 5:00 p.m., en jornada continua o al teléfono 3527160.
Para que la ciudadanía en general tenga mayor claridad sobre los Lineamientos para la Protección y Custodia de Datos de los denunciantes de Actos de Corrupción del IDEAM y en pro de facilitar la identificación de conductas de corrupción y los tipos penales que los configuran, también se pone a disposición de loa ciudadanos el siguiente documento: http://goo.gl/Eknkcc
* Para el primer y segundo trimestre el 2017 no se presentaron quejas de ninguna índole, lo cual se evidencia en el punto N°3 de la “Parte A” CLASIFICACIÓN DE LAS PQRS ENERO A MARZO y ABRIL A JUNIO DE 2017 (Tipo de Requerimiento) del Informe Trimetral de PQRS publicado en la WEB. Cabe anotar que las QUEJAS que se han presentado en anteriores periodos, se les ha dado respuesta oportuna y el debido tratamiento por parte de las oficinas competentes.
* Se presentó el cronograma de capacitaciones de PQRS las cuales a la fecha de corte del presente informe, se realizaron 11, en la cuales se detectó  los temas que aún se en ecuentran débiles y así preparar con base en estas, un nuevo plan de refuerzos de capacitaciones, las cuales estarán orientados a mejorar también las acciones en contra de los actos de corrupción.
*El porcentaje para el INDICADOR de este riesgo dió como resultado para este Trimestre: El 0%  teniendo en cuenta que no se presentaron denuncias de actos de corrupción.
Casos de corrupción de Atención al Ciudadano denunciados primer trimestre: 0/Total de PQRS: 10.929)*100 y Casos de corrupción de Atención al Ciudadano denunciados segundo trimestre: 0/Total de PQRS: 8.027)*100
</t>
  </si>
  <si>
    <t>Subdirectora de Estudios Ambientales - Coordinador Acreditación de Laboratorio</t>
  </si>
  <si>
    <t>Asignación de la responsabilidad del seguimiento de cada trámite al auditor líder, una vez ejecutada la visita.
Designación de tareas de seguimiento periódico, con comunicaciones generales
Sistematización de los trámites, con un sistema que genere alarmas, diferentes a los TRD del ORFEO</t>
  </si>
  <si>
    <t>Acercamiento con el ANLA con la posibilidad de utilizar las plataformas VITAL-SILA en los trámites iniciales</t>
  </si>
  <si>
    <t>El informe técnico ha sido puesto a consideración para su uso, pero requiere la evaluación jurídica de su implementación, que se está haciendo a la fecha</t>
  </si>
  <si>
    <t>La programación del PAC mensual con anterioridad ha funcionado como control del riesgo que se produzca, así como la programación de los grupos evaludaroes</t>
  </si>
  <si>
    <t>Diagnóstico del estado del Sistema de gestión documental del grupo de acreditación, comparado con los requisitos de la Norma.
Asignación de la revisión documental con base en el diagnóstico</t>
  </si>
  <si>
    <t>*Comunicación con los observadores (Telefonica y presencial).
*Aplicar metodologías para la generación de información faltante. 
*Se capacita al nucleo familiar del observador voluntario. 
*Visitas programadas.</t>
  </si>
  <si>
    <t>1. Realizar la planeación de adquisición, mantenimiento y moniterero Planeación Operativa con las Áreas Tematicas. 
2. Gestionar con tiempo la imprenta de la papeleria técnica y adquisiciónm de insumos
3. Capacitar el nucleo familiar del observador voluntario. 
 4. Dotar de registradores continuos las estaciones
5. Promover estrategias que motiven a los Observador voluntario desmotivado.
6. Pago oportuno de los observadores.</t>
  </si>
  <si>
    <t xml:space="preserve">Gestionar imprenta
Estrategias para el observador voluntario </t>
  </si>
  <si>
    <t>En la presente vigencia la Subdireccion de Meteorologia, ha realizado las visitas de Auditoria a la Red de estaciones de las Areas operativas de Nariño, Valle y santanderes, en donde se ha verificado el estado de los instrumentos de las estaciones asi como la revision de los datos tomados por los observadores; capacitacion a los mismos y la presentacion de los respectivos informes a las areas misionaales para efectos de  establecer las acciones de mejora respecto de  la toma de datos: asi las cosas, desde la Subdireccion de Meterorologia se realizan las acciones pertinentes para evitar la materializacion del presente riesgo</t>
  </si>
  <si>
    <t>Profesional Especializdo de la Subdireccion de Meteorologia</t>
  </si>
  <si>
    <t>*Filtro previo antes de la exposición, presentación y publicacion  de datos.
*Realizar la  verificación de la información de acuerdo a los protocolos desde las areas operativas. 
*En las comisiones programadas se realiza reinducción a los observadores voluntarios.
*Verificación de los datos a través de los sistemas de información (SISDHIM, MACROS, SSHM, R studio).
*Preverificación de la información en campo.</t>
  </si>
  <si>
    <t>1. Realizar la planeación de adquisición, mantenimiento y moniterero Planeación Operativa con las Áreas Tematicas. 
2. Capacitar a los observadores voluntarios y los inspectores de campo en la normatividad vigente. 
3. Gestionar el suministro de instrumentos e insumos requerido para garantizar la generación de información.
4. Cumplir con el cronograma de trabajo aprobado por Planeación Operativa. 
5. Seguir los protocolos establecidos para la  captura, tratamiento y almacenamiento de datos hidrometeorologicos y ambientales.
6. Promover estrategias que motiven a los Observador voluntarios.</t>
  </si>
  <si>
    <t xml:space="preserve">Cronograma
Capacitación a los observadores
</t>
  </si>
  <si>
    <t>En la presente vigencia la Subdirección de Meteorología, ha realizado las visitas de Auditoria a la Red de estaciones de las Áreas operativas de Nariño, Valle y Santander es, en donde se ha verificado el estado de los instrumentos de las estaciones así como la revisión de los datos tomados por los observadores; capacitación a los mismos y la presentación de los respectivos informes a las áreas misionales para efectos de  establecer las acciones de mejora respecto de  la toma de datos: así las cosas, desde la Subdirección de Meteorología se realizan las acciones pertinentes para evitar la materialización del presente riesgo</t>
  </si>
  <si>
    <t>Profesional Especializado de la Subdirección de Meteorología</t>
  </si>
  <si>
    <t xml:space="preserve">A la fecha del monitoreo se puede establecer que no ha habido materialización del presente riesgo, en consideración a la aplicación de los controles  y acciones establecidos,  lo que ha permitido realizar las validaciones oportunas de los informes y documentos generados por la Subdirección antes de su publicación o entrega  </t>
  </si>
  <si>
    <t xml:space="preserve">Profesionales de la Subdirección
Subdirectora
</t>
  </si>
  <si>
    <t>Informe PQRS Grupo de Atencion al Ciudadano</t>
  </si>
  <si>
    <t>Revisión periódica y en concordancia a los protocolos y procedimientos pre validación y aprobación de los informes a publicar</t>
  </si>
  <si>
    <t>Grupo de Comunicaciones</t>
  </si>
  <si>
    <t>Manejo inadecuado de la información generada por la entidad para obtener beneficios.</t>
  </si>
  <si>
    <t>Perdida de Imagen, confianza y credibilidad Institucional.</t>
  </si>
  <si>
    <t>Documento análisis del monitoreo de medios.                       Documento estadistico de reporte de las redes  sociales.</t>
  </si>
  <si>
    <t>Abril:
Total noticias monitoreadas: 281
Mayo:
Total noticias monitoreadas: 370
Junio:
Total noticias monitoreadas: 166
A través de este seguimiento, se puede observar que la información se ha presentado de manera clara, oportuna y concisa, siguiendo los parámetros establecidos dentro de la Política de Comunicaciones del Instituto.
Documentos análisis monitoreo de medios: disponibles en las carpetas "01_MONITOREO_ABRIL_2017",  "02_MONITOREO MAYO_2017" y "03_MONITOREO JUNIO_2017" ubicados en la ruta X:\Comunicaciones\seguimiento_riesgo_2_trimestre_2017\01_monitoreo_medios_2_trim_2017                                                                                                           
Monitoreo en Redes sociales
Enero: Núm. descargas app MiPronóstico: / Núm. seguidores Twitter: 1.250 / Núm. trinos publicados Twitter: 402 / Núm. seguidores Facebook: 999 / Núm. publicaciones Facebook: 67 / Núm. Visualizaciones Youtube: 15007
Febrero: Núm. descargas app MiPronóstico: / Núm. seguidores Twitter: 2.327 / Núm. trinos publicados Twitter: 607 / Núm. seguidores Facebook: 2.367 / Núm. publicaciones Facebook: 121 / Núm. Visualizaciones Youtube: 33253
Marzo: Núm. descargas app MiPronóstico: / Núm. seguidores Twitter: 1.421 / Núm. trinos publicados Twitter: 744 / Núm. seguidores Facebook: 1.042 / Núm. publicaciones Facebook: 114 / Núm. Visualizaciones Youtube: 22.341
Al tener en cuenta la política de Comunicaciones se establecen los filtros para la publicación de información en redes sociales por medio del community manager, como se ejemplifica en los correos "Zimbra_2017_03_06_trino"
y "Zimbra_2017_03_08_trinos" ubicados en la ruta X:\Comunicaciones\seguimiento_anticorrupcion_riesgo_marzo_2017\riesgo_comunicaciones_marzo_2017\correos_comunicaciones .
La información reposa en el correo insititucional de la coordinadora del grupo de Comunicaciones (Ivonne Vargas) y puede ser evidenciable en las notas emitidas por el Instituto en la página web y en Intranet)
Basados en los monitoreos establecidos se observa que el riesgo enunciado es controlable, ya que se hace el filtro de información para publicación y el seguimiento a dicha publicación.</t>
  </si>
  <si>
    <t>Presentación indebida de la información que deriva en falta de garantías para que los ciudadanos puedan conocer la gestión del Instituto</t>
  </si>
  <si>
    <t>Interpretación inadecuada de la informacion técnica emitida en los distintos canales de comuicación del Instituto y publicada por medios de comunicación nacionales o internacionales</t>
  </si>
  <si>
    <t>De acuerdo con el Procedimiento E-GC-P001, se ha establecido el control de las noticias a generar por la entidad,  resultando de ello lo siguiente: 
1. Para la publicación de información media la revisión por parte de Comunicaciones; como ejemplo se anexan los siguientes archivos: 
2017_04_07_Zimbra-conducto y 2017_05_24_Zimbra-conducto
Dichos ejemplos se ubican en la ruta X:\Comunicaciones\seguimiento_anticorrupcion_riesgo_marzo_2017\riesgo_comunicaciones_marzo_2017\correos_comunicaciones
La información reposa en el correo insititucional de la coordinadora del grupo de Comunicaciones (Ivonne Vargas) y puede ser evidenciable en las notas emitidas por el Instituto en la página web y en Intranet.
Bajo este esquema se realizó la publicación de:
**11 noticias en la web del IDEAM entre los meses de abril y junio: 
(5 noticias abril; 1 noticia mayo; 5 noticias junio), disponibles en  http://www.ideam.gov.co/web/sala-de-prensa/noticias
** Publicación de 14 noticias internas entre los meses de abril y junio, disponibles en  http://intranet.ideam.gov.co/noticias
**Emisión de boletines prensa publicados en los diferentes medios de comunicación. (Las notas se encuentran mencionadas en los archivos  "01_MONITOREO_ABRIL_2017",  "02_MONITOREO MAYO_2017" y "03_MONITOREO JUNIO_2017" )
De acuerdo a lo anterior, se establecen los filtros necesarios para evitar el riesgo de la manipulación de información emitida por el Instituto.</t>
  </si>
  <si>
    <t>Eventual falta de planeación por parte de la OCINT; no celebración de Comité Técnico de Control Interno.</t>
  </si>
  <si>
    <t>No elaboración y presentación del Programa Anual de Auditorías.</t>
  </si>
  <si>
    <t>Falta de presentación del programa anual de auditorías por la OCINT, ante el Comité de Coordinación del Sistema de Control Interno.</t>
  </si>
  <si>
    <t>Falta de planeación, improvisación, reprocesos y desgaste administrativo, incumplimiento del MECI y de las normas de auditoría.</t>
  </si>
  <si>
    <t>Programa anual de Auditorías debidamente aprobado.</t>
  </si>
  <si>
    <t>Asumir el riesgo.</t>
  </si>
  <si>
    <t>Anual</t>
  </si>
  <si>
    <t>Elaboración y presentación al Comité de Coordinación del Sistema de Control Interno del Programa de auditoria.</t>
  </si>
  <si>
    <t>Acta</t>
  </si>
  <si>
    <t>El 9 de diciembre de 2016, se presentó al Comité de Coordinación de Control Interno, el Programa Anual de Auditorías a ejecutar en la vigencia 2017; el cual fue debidamente aprobado por los miembros del Comité; lo que genera un control sobre el riesgo para evitar su materialización. Se dispone del acta.
El 17 de mayo de 2017, se realizó el Comité de Coordinación de Control Interno, en el cual se presentó la modificación al Programa Anual de Auditorías, el cual fue aprobado por los miembros del Comité.</t>
  </si>
  <si>
    <t>Jefe de la Oficina de Control Interno.</t>
  </si>
  <si>
    <t>Se cuenta con el documento "Programa Anual de Auditoría 2017", presentado y aprobado por el citado Comté de Coordinación de Control Interno y el Acta de Comité de Coordinación de Control Interno de diciembre 9 de 2016, así como el que se aprobó el 17 de mayo de 2017.</t>
  </si>
  <si>
    <t>*Sobrecarga de trabajo
*Carecer de personal idoneo y suficiente
*Inoportunidad en el envío de información y evidencias por parte de las dependencias y/o áreas operativas.
*Inadecuadas condiciones tecnológicas, y/o administrativas.</t>
  </si>
  <si>
    <t>Incumplimiento del Programa Anual de Auditoria Interna.</t>
  </si>
  <si>
    <t>No cumplimiento a la totalidad de las auditorias programadas.</t>
  </si>
  <si>
    <t>*No contribuir al cumplimiento de la misión institucional en el marco de las políticas vigentes.
*Sanciones.
*Limitaciones en oportunidades de mejora.</t>
  </si>
  <si>
    <t>Seguimiento al programa de auditoria.</t>
  </si>
  <si>
    <t>Evitar / Reducir</t>
  </si>
  <si>
    <t>Cuatro (4) reuniones de revisión al programa anual de auditorías con los servidores de OCI.
Elaboración de cronograma para circulares / recordatorios periódicos según el área de competencia.</t>
  </si>
  <si>
    <t>A la fecha del presente informe, OCINT ha realizado entre marzo y julio/2017, 5 reuniones (03 de abril, 06 de abril, 30 de mayo, 31 de mayo y 07 de junio), donde se monitorean los avances a las actividades del Programa Anual de Auditorías. 
De conformidad con lo anterior, el riesgo no presenta materialización; del total de actividades para la vigencia 2017, se ha dado un cumplimiento del 67% en el primer semestre/2017.</t>
  </si>
  <si>
    <t>Jefe de la Oficina de Control Interno y funcionarios del área.</t>
  </si>
  <si>
    <t xml:space="preserve">Para las causas: Reuniones realizadas / Reuniones programadas
5 reuniones realizadas / 4 reuniones programadas  =   125%
Para el riesgo: Actividades realizadas / actividades del programa anual de auditorias.
57 actividades realizadas / 105 programadas = 67%
Cronograma informes de Ley. </t>
  </si>
  <si>
    <t>*Sobrecarga de trabajo.
*Insuficiencia de personal.
*Auditores de gestión sin la competencia requerida en las áreas misionales para efectuar los procesos de seguimiento.
*Extemporaneidad y/o inconsistencia en la información suministrada por las áreas fuentes.
*Desconocimiento de la normatividad.</t>
  </si>
  <si>
    <t>Extemporaniedad en los informes de ley y en las respuestas a los requerimientos de información de los organismos de control y vigilancia y  demás entidades que soliciten información.</t>
  </si>
  <si>
    <t>Extemporaneidad en la presentación y  respuesta de los informes y demás requerimientos por fuera del termino establecido.</t>
  </si>
  <si>
    <t>*Pérdida de la imagen institucional y/o del área.
*Sanciones.
*No contribuir al cumplimiento de la misión institucional en el marco de las políticas vigentes.</t>
  </si>
  <si>
    <t>Cuatro (4) reuniones de revisión al programa anual de auditorías con los servidores de OCI.
Elaboración de cronograma para circulares / recordatorios periódicos según el área de competencia 
Revisión trimestral del normograma.</t>
  </si>
  <si>
    <t>La Oficina de Control Interno -OCINT, adelanta la revisión del cumplimiento del programa anual de auditorias y se definen los cronogramas de presentación de los informes correspondientes.
La OCINT ha realizado ocho (8) reuniones de autoevaluación (19 de enero, 8 de febrero, 7 de marzo, 3 de abril, 6 de abril, 30 de mayo, 31 de mayo y 7 de junio), donde se monitorean los avances a las actividades del Programa Anual de Auditorías y se revisan los informes de ley que se han realizado y los próximos. 
Con memorando 20171030000793 del 07/04/2017, se informó a la Oficina Asesora de Planeación el avance de indicadores de gestión del I Ttre 2017, asì mismo, mediante correo del 25/07/2017, se informó el avance de indicadores de gestión del II Ttre 2017.
En Comité de Coordinación de Control Interno de diciembre 9 de 2016, se hizo entrega a los miembros del Comité del cronograma para la entrega de información referente a los informes de Ley.
En Comité de Coordinación de Control Interno del 17 de mayo de 2017, se presentó la modificación al Programa Anual de Auditorías, el cual fue aprobado por los miembros del Comité.
Se adelantó la revisión del normograma y se ajustó conforme a la normativa vigente el 27/04/2017.</t>
  </si>
  <si>
    <t>Número de informes extemporáneos. A la fecha del presente informe, no se han presentado informes de ley extemporáneos.</t>
  </si>
  <si>
    <t>Falta de programación de actividades de fomento de la cultura del autocontrol.</t>
  </si>
  <si>
    <t>No diseñar estrategias sobre la difusión de la cultura del autocontrol.</t>
  </si>
  <si>
    <t>No diseñar y fomentar estrategias de difusión y sensibilización de la cultura del autocontrol.</t>
  </si>
  <si>
    <t>*Incumplimiento a la normativa vigente
*Limitaciones en oportunidades de mejora individual e institucional.</t>
  </si>
  <si>
    <t>Eventos e infos de autocontrol.</t>
  </si>
  <si>
    <t>Asumir / Reducir</t>
  </si>
  <si>
    <t>Permanente</t>
  </si>
  <si>
    <t>*Realización de eventos a las dependencias.
*Publicación de infos en los correos institucionales.</t>
  </si>
  <si>
    <t>Actas, correos, infos.</t>
  </si>
  <si>
    <t>Con ocasión del desarrollo de los informes o seguimientos de ley, así como de las demás actividades enmarcadas en el Programa Anual de Auditorías, la OCINT adelanta las respectivas reuniones de sensibilización sobre el autocontrol y autoevaluación, de manera directa con cada uno de los funcionarios y las instancias que atienden los procesos de auditoría y aportan las evidencias.
Con relación a la actividad "Fomento Cultura autocontrol", del Programa Anual de Auditorías, se dispuso concentrarla con el indicador "1", sin embargo, las gestiones adelantadas por OCINT pueden generar varias reuniones durante la vigencia 2017, Se han adelantado reuniones con la Subdirección de Estudios Ambientales (20/01/2017), Grupo de Gestión Documental (01/03/2017) y Subdirección de Estudios Ambientales (13/03/2017). De igual forma con el Grupo Servicios Administrativos y el Grupo Atenciòn al Ciudadano.
Se dispone de un cronograma de eventos con las áreas para el primer semestre 2017, donde se desarrollan temáticas en torno a autocontrol, transparencia, anticorrupción, gestión del riesgo y participación ciudadana.
Se adelantaron reuniones con las Areas Operativas de Pasto (Apertura: 27 de marzo de 2017 y Cierre: 31 marzo de 2017), con Cali (Apertura: 22 de mayo de 2017 y Cierre: 26 mayo de 2017), entre otras.
Para la actividad "Fomento Cultura autocontrol", del Programa Anual de Auditorías, se han adelantado reuniones con la SUBDIRECCIÓN DE METEOROLOGÍA, METEOROLOGÍA AERONÁTICA, ÁREAS OPERATIVAS Y AEROPUERTOS (20/04/2017), OFICINA JURÍDICA (05/05/2017) y GRUPO DE ATENCIÓN AL CIUDADANO, GRUPO DE COMUNICACIONES, GRUPO DE GESTIÓN DOCUMENTAL y ÁREAS OPERATIVAS Y AEROPUERTOS (12/05/2017); se desarrollaron temáticas en torno a autocontrol, transparencia, anticorrupción, gestión del riesgo y participación ciudadana. 
Se han dispuesto banners por parte de OCINT (26/enero/2017), sobre la rendición cuenta anual a la CGR 2016 y la remisión de avances de planes de mejoramiento, así como el 12/junio/2017 (remisión de avances de planes de mejoramiento, tanto de la CGR como internas).</t>
  </si>
  <si>
    <t>Eventos realizados. Adicional a las reuniones en los procesos de auditorías, se han adelantado reuniones con la SUBDIRECCIÓN DE METEOROLOGÍA, METEOROLOGÍA AERONÁTICA, ÁREAS OPERATIVAS Y AEROPUERTOS (20/04/2017), OFICINA JURÍDICA (05/05/2017) y GRUPO DE ATENCIÓN AL CIUDADANO (08/05/2017), con el acompañamiento de las áreas operativas vía streaming.
Se ha dispuesto un (1) banner por parte de OCINT, el día 12 de junio de 2017.</t>
  </si>
  <si>
    <t>Desconocimiento de las funciones y objetivos de la Oficina de Control Interno por parte de las demás dependencias.</t>
  </si>
  <si>
    <t>Falta de receptividad de las dependencias del Instituto frente a los informes y seguimientos con recomendaciones realizadas por la Oficina de Control Interno para la mejora contínua.</t>
  </si>
  <si>
    <t>Omisión en las áreas del Instituto de las observaciones de OCINT en los informes del proceso auditor.</t>
  </si>
  <si>
    <t>El mejoramiento contínuo en los procesos, se ve afectado contribuyendo a un nivel de susceptibilidad mayor de la corrupción.</t>
  </si>
  <si>
    <t>Realizar reuniones de apertura y cierre con el lider del proceso y auditados informando los aspectos más relevantes, generando recomendaciones. Procedimiento C-EM-P001 -Auditoria Interna -#6-Actividades 7 a 10.
Formulacion y revisión plan de mejoramiento. Procedimiento C-EM-P002 -Gestion de planes de mejoramiento.</t>
  </si>
  <si>
    <t>Actividades descritas en el procedimiento C-EM-P002 -Gestion de planes de mejoramiento -#6-Ejecución y Seguimiento del Plan de Mejoramiento -Actividades 4 a 9.
Realizar reuniones de acompañamiento/asesoría con los funcionarios de los diferentes procesos institucionales.</t>
  </si>
  <si>
    <t>Actas de reuniones con los funcionarios de los procesos institucionales.
Informes de seguimiento a los planes de mejoramiento suscritos con las dependencias.</t>
  </si>
  <si>
    <t>Las dependencias del Instituto han acogido de manera objetiva los informes de la Oficina de Control Interno y han formulado los planes de mejoramiento pertinentes o han solicitado reconsideraciones a las observaciones enunciadas por ésta Oficina.
Dentro de las actividades que se desarrollan en los procesos de auditoría, se llevan a cabo las reuniones de apertura y cierre de la auditoría.
Se adelantaron reuniones con las Areas Operativas de Pasto (Apertura: 27 de marzo de 2017 y Cierre: 31 marzo de 2017), con Cali (Apertura: 22 de mayo de 2017 y Cierre: 26 mayo de 2017), entre otras.
Adicionalmente, se ejecutan las actividades descritas en el procedimiento de Planes de Mejoramiento.</t>
  </si>
  <si>
    <t xml:space="preserve">Informes de seguimiento a los planes de mejoramiento de cada proceso.
Durante el mes de mayo/2017, se realizó el Comité de Coordinación de Control Interno, en el cual se presentaron las gestiones de la Oficina de Control Interno -OCINT, así como la ejecución de los planes de mejoramiento suscritos por las diferentes dependencias, tanto de la auditoría de la Contraloría General de la Repúiblica -CGR vigencia 2016, como de las auditorías internas. 
Actas de reuniones de apertura y cierre de auditorías. </t>
  </si>
  <si>
    <t>Inobservancia frente a los fundamentos éticos de un profesional/auditor.
Ausencia de controles efectivos.
Desconocimiento de las normas vigentes sobre la materia a evaluar.
Presiones indebidas/tráfico de influencias y favorabilidad.</t>
  </si>
  <si>
    <t>Generación de informes sin la debida idoneidad por parte de los auditores de la Oficina de Control Interno.</t>
  </si>
  <si>
    <t>Informes de auditorías sin soportes/evidencias claras, objetivas o pertinentes.</t>
  </si>
  <si>
    <t>Falta de credibilidad en la gestión de la Oficina de Control Interno, facilitando la ocurrencia de actos de corrupción.</t>
  </si>
  <si>
    <t>Revisión y elaboración del Informe de Auditoria por el Jefe de Oficina de Control Interno y/o Representante de la Alta Dirección. 
Procedimiento C-EM-P001 -Auditoria Interna -#6-Actividades 11 y 12.
Código de Ética de los servidores de la Oficina de Control Interno.</t>
  </si>
  <si>
    <t>Reuniones de retroalimentación/estudio con los servidores de la Oficina de Control Interno. 
Revisar en las reuniones de retroalimentación y de forma periódica, el cumplimiento de las disposiciones definidas en el Código de Ética de los servidores públicos de la Oficina de Control Interno.</t>
  </si>
  <si>
    <t>Actas de reuniones de retroalimentación/estudio.</t>
  </si>
  <si>
    <t>En la vigencia, OCINT ha realizado ocho (8) reuniones de autoevaluación (19 de enero, 8 de febrero, 7 de marzo, 3 de abril, 6 de abril, 30 de mayo, 31 de mayo y 7 de junio), donde se monitorean los avances del Programa Anual de Auditorías y se revisan los informes de ley que se han realizado y los próximos. 
Todos los informes de la Oficina son revisados por la Jefe de la Oficina, antes del envío a los auditados.</t>
  </si>
  <si>
    <t>Actas reuniones de autoevaluación - 8.</t>
  </si>
  <si>
    <t>Miercoles 23 de Agosto de 2017</t>
  </si>
  <si>
    <t>Revisión de productos en las áreas temáticas.
Realizar gestión con los involucrados de generación del dato.
Realizar capacitaciones internas y externas.</t>
  </si>
  <si>
    <t>Productos publicados por el Instituto</t>
  </si>
  <si>
    <t xml:space="preserve">Los resultados y productos generados por el Instituto se publicaron en físico y en página Web. Así mismo se dieron a conocer a través de eventos donde participaron entidades del orden nacional y regional.
A la fecha del monitoreo se puede establecer que no ha habido materialización del presente riesgo , en consideración a la aplicación de los controles establecidos e n los protocolos,  lo que ha permitido realizar las correcciones oportunas de los informes y documentos generados por la Subdirección antes de su publicación o entrega; adicionalmente durante este periodo se establecio el cronograma y agenda de divulgación entre Subdirectores responsables de los productos  y el Señor Director General, el cual se ha cumplido a cabalidad.    </t>
  </si>
  <si>
    <t>Productos generados</t>
  </si>
  <si>
    <t xml:space="preserve">Aplicación de procedimientos técnicos y verificacion de los puntos de control antes de la emision de los informes a publicar.
Divulgación y oficialización de los productos y </t>
  </si>
  <si>
    <t>Realizar seguimiento a los controles establecidos.</t>
  </si>
  <si>
    <t>Reporte de seguimiento</t>
  </si>
  <si>
    <t xml:space="preserve">Durante este periodo se establecio el cronograma y agenda de divulgación entre Subdirectores responsables de los productos y Director General, el cual ha sifo cumplido a cabalidad. 
A la fecha del monitoreo se puede establecer que no ha habido materialización del presente riesgo , en consideración a la aplicación de los controles  y aciones establecidos ,  lo que ha permitido realizar las validaciones oportunas de los informes y documentos generados por la Subdirección antes de su publicación o entrega  </t>
  </si>
  <si>
    <t>Subdirectores
Director General</t>
  </si>
  <si>
    <t>Cumplimiento cronograma y agenda de divulgación</t>
  </si>
  <si>
    <t>1-Se actualizaron los manuales para radicación de memorando y radicación de comunicaciones de salida
2-Se realizaron capacitaciones a los funcionarios y contratistas sobre el manejo basico de Orfeo
3-Se elaboraron Videos sobre la Radicacion de Memorandos y Oficios</t>
  </si>
  <si>
    <t>Se actualizaron los manuales, se realizaron capacitaciones, se elaboraron ayudas audiovisuales</t>
  </si>
  <si>
    <t>1-Se alerto oportunamente las fallas a la Oficina de Informatica.
2-Se realizó back up de imagines digitalizadas del aplicativo ORFEO.</t>
  </si>
  <si>
    <t>Se realiza back-up mensualmente de las imágenes digitalizadas</t>
  </si>
  <si>
    <t>Se enviaron correos de solicitud</t>
  </si>
  <si>
    <t>1-Se conto con la cooperación de la Oficina de Informática y de Comunicaciones para la difusión de la información y demás servicios del Centro de Documentación.
2-Socializar instructivo Distribución de publicaciones institucionales</t>
  </si>
  <si>
    <t>Material de sensibilización   Correos funcionarios     Página Wed institucional</t>
  </si>
  <si>
    <t>Se hizo difusión de la información y servicios del Centro de Documentación.</t>
  </si>
  <si>
    <t xml:space="preserve">1-Se actualizaron las TRD de Gestión documental, Dirección General, Grupo de Meteorología aeronautica, Talento Humano, Control Interno, Grupo de Planeación Operativa y Oficina Jurídica 
2-Se expidió la resolucion No.1235 de 2017 por la cual se aprueba el PGD
3-Se expidió la resolución No.1236 por la cual se adoptan y aprueban unas TRD
</t>
  </si>
  <si>
    <t>Se actualizaron las TRD, se expidieron actos administrativos</t>
  </si>
  <si>
    <t>Capacitación en normatividad</t>
  </si>
  <si>
    <t>Revisión de pares
Capacitación en normatividad</t>
  </si>
  <si>
    <t xml:space="preserve">*Realizar actualización jurídica concomitante con las reformas que afecten el derecho fundamental de petición, cuando se requiera. </t>
  </si>
  <si>
    <t>Reformas que afecten el derecho fundamental de petición.</t>
  </si>
  <si>
    <t>*Realizar seguimiento de las tareas adelantadas por los abogados con los que cuenta la OAJ</t>
  </si>
  <si>
    <t>Seguimiento estudios previos</t>
  </si>
  <si>
    <t>Comunicaciones
Sistematización del trámite</t>
  </si>
  <si>
    <t>Informe técnico</t>
  </si>
  <si>
    <t>Programación</t>
  </si>
  <si>
    <t>Documentos del Sistema de Gestión</t>
  </si>
  <si>
    <t>Operación continua
Catálogo de servicios</t>
  </si>
  <si>
    <t>Soportes de auditoría
Tip´s de seguridad</t>
  </si>
  <si>
    <t>GESTION DEL SGI</t>
  </si>
  <si>
    <t>Jefe Oficina Asesora de Planeación - Responsables del SGI</t>
  </si>
  <si>
    <t>E-SGI-P001 Procedimiento control de documentos y registros</t>
  </si>
  <si>
    <t>Cumplir con el procedimiento Control de Documentos y Registros
Concienciar al equipo operativo en el uso y aplicabilidad del procedimiento control de documentos y registros</t>
  </si>
  <si>
    <t>Material Equipo Operativo
Orfeos de solicitud de creación o actualización de documentación SGI</t>
  </si>
  <si>
    <t>En el Equipo Operativo se socializó el procedimiento de control de documentos y registros, con el fin de concienciar a los funcionarios sobre el uso y aplicabilidad del mismo.
Se realizaron actividades de concienciación y de gestión del cambio con cada uno de los procesos.
A la fecha se realiza por escrito la solicitud de actualización o creación de documentos cuando se requiere.</t>
  </si>
  <si>
    <t>Responsables del SGI</t>
  </si>
  <si>
    <t>Procedimiento socializado</t>
  </si>
  <si>
    <t xml:space="preserve">B                             </t>
  </si>
  <si>
    <r>
      <t xml:space="preserve">• Se enviaron Tips de seguridad de la información en cuanto a RANSOMWARE y RESPALDO DE INFORMACIÓN.
• Se realizó la auditoria de la política 1 –  Acceso a los sistemas de información
          </t>
    </r>
    <r>
      <rPr>
        <b/>
        <sz val="9"/>
        <rFont val="Arial"/>
        <family val="2"/>
      </rPr>
      <t>o 1.  A-GI-M002 PLAN DE SEGURIDAD Y PRIVACIDAD DE LA INFORMACIÓN IDEAM - POLITICA 1. ACCESO A SISTEMAS DE   INFORMACIÓN - http://goo.gl/5skA7x
       o 2. A1-GIP-02 PROCEDIMIENTO ACCESO A SERVICIOS DE INFORMACIÓN
       o 3. A1-GIM-03 MANUAL TRAMITE CUENTAS DE USUARIO
       o 4. A1-GHF-xx Formato Tramite de Cuentas de Usuario-1</t>
    </r>
    <r>
      <rPr>
        <sz val="9"/>
        <rFont val="Arial"/>
        <family val="2"/>
      </rPr>
      <t xml:space="preserve">
• Se realizo capacitación de seguridad de la información en cuanto al dominio (CONTINUIDAD DEL NEGOCIO), dicha capacitación se realizó mediante STREAMING a todo el Instituto (Sede Central – Areas Operativas y Aeropuertos)
* Se enviaron recomendaciones por la intranet donde el tema fue incidentes de seguridad.
</t>
    </r>
    <r>
      <rPr>
        <b/>
        <sz val="9"/>
        <rFont val="Arial"/>
        <family val="2"/>
      </rPr>
      <t xml:space="preserve">
Evidencias:
</t>
    </r>
    <r>
      <rPr>
        <sz val="9"/>
        <rFont val="Arial"/>
        <family val="2"/>
      </rPr>
      <t xml:space="preserve">
- Tips Ransomware 
- Tip2 Respaldo de Información
- Recomendaciones Incidentes de Seguridad
- Restricción acceso Intranet
- Capacitacion Continuidad de Negocio  En respuesta me permito adjuntar (auditoria de backups), donde se evidencia el avance en cuanto  a las auditorias internas por parte de la Oficina de Informática, en esta auditoria se tiene como criterio documentos, formatos y guias,  relacionadas con la política de backups, cabe destacar que estos documentos reposan en el SGI.
1. A-GI-M002 PLAN DE SEGURIDAD Y PRIVACIDAD DE LA INFORMACIÓN IDEAM - POLITICA 4. ALMACENAMIENTO Y RESPALDO - http://goo.gl/5skA7x
2. A- GI-P005 ALMACENAMIENTO Y RESPALDO
3. A-GI-F002 FORMATO DE CONTROL DE ENVIO DE CINTAS 
4. A-GI-F006 SOLICITUD DE CAMBIO O ADICION DE COPIAS DE RESPALDO.xlsx
</t>
    </r>
  </si>
  <si>
    <t>31/03/2017 - 3/07/2017</t>
  </si>
  <si>
    <t>31/03/2017 - 31/07/2017</t>
  </si>
  <si>
    <t>En el marco de las actividades de "Rendición de cuentas" se obtienen las siguientes evidencias: 
El día 6 de junio de 2017 se realizó reunión de preparación para la Audiencia Pública de Rendición de Cuentas, contando con la participación de la Oficina Asesora de Planeación y los grupos de Atención al Ciudadano, Talento Humano y Comunicaciones. En esta reunión se estableció la necesidad de divulgar el informe de gestión de la entidad, determinar las necesidades de información de los ciudadanos y la caraterización de usuarios. Esta reunión previa se cuenta como insumo para definir las necesidades para la realización de la Audiencia Pública de Rendición de Cuentas por parte de la Dirección General. 
La evidencia de esta reunión se puede evidenciar en los archivos "2017_06_06_lista_asistencia_reunion" y "Revisión Acta de Reunión 1 Planeación de Rendición de Cuentas 2017" ubicados en la ruta X:\Comunicaciones\seguimiento_riesgo_2_trimestre_2017\02_rendicion_cuentas
Adicionalmente, en el segundo trimestre de 2017, se ha dado a conocer la gestión de la entidad, los productos y resultados,  a través de diferentes eventos en donde hemos contado con la asistencia de ciudadanía y además se ha contemplado dentro de los mismos un espacio para que la comunidad formule sus preguntas y sean respondidas y al mismo tiempo reciba información sobre los productos de la entidad.                                                                                                                                                                                                                                                                                                                                                    
- Lanzamiento informe Degradación de Suelos por Erosión y Salinización  (Abr 20)
- Entrega Décimo Boletín de Alerta Temprana por Deforestación (Jun 1) 
- Lanzamiento Informe Análisis Vulnerabilidad al Cambio Climático (Jun 14) 
- Tasa de Deforestación (Jul 7)
- Congreso Seguridad Hídrica (Jul 11)
Las evidencias de la gestión de los eventos adicionales se encuentran en la ruta "X:\Comunicaciones\seguimiento_riesgo_2_trimestre_2017\02_rendicion_cuentas\evidencias_eventos_rendicion_2_trimestre"
Para los diferentes eventos realizados se tuvo en cuenta la priorización de información en cada evento, señalándose así que el riesgo estipulado de ocultamiento de información clave puede ser controlado mediante la actividad desarrollada.</t>
  </si>
  <si>
    <t>Evaluacion y Mejoramiento continuo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</si>
</sst>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yyyy;@"/>
    <numFmt numFmtId="165" formatCode="[$-F800]dddd\,\ mmmm\ dd\,\ yyyy"/>
  </numFmts>
  <fonts count="37" x14ac:knownFonts="1">
    <font>
      <sz val="11"/>
      <color theme="1"/>
      <name val="Calibri"/>
      <family val="2"/>
      <scheme val="minor"/>
    </font>
    <font>
      <sz val="10"/>
      <name val="Arial"/>
      <family val="2"/>
    </font>
    <font>
      <sz val="11"/>
      <name val="Arial"/>
      <family val="2"/>
    </font>
    <font>
      <b/>
      <sz val="11"/>
      <name val="Arial"/>
      <family val="2"/>
    </font>
    <font>
      <sz val="10"/>
      <color theme="1"/>
      <name val="Arial"/>
      <family val="2"/>
    </font>
    <font>
      <sz val="11"/>
      <color theme="1"/>
      <name val="Arial"/>
      <family val="2"/>
    </font>
    <font>
      <sz val="10"/>
      <name val="Arial"/>
      <family val="2"/>
    </font>
    <font>
      <b/>
      <sz val="11"/>
      <color rgb="FF000000"/>
      <name val="Arial"/>
      <family val="2"/>
    </font>
    <font>
      <sz val="11"/>
      <color rgb="FF000000"/>
      <name val="Arial"/>
      <family val="2"/>
    </font>
    <font>
      <b/>
      <sz val="11"/>
      <color rgb="FF276F5E"/>
      <name val="Arial"/>
      <family val="2"/>
    </font>
    <font>
      <b/>
      <sz val="11"/>
      <color rgb="FFFFFF00"/>
      <name val="Arial"/>
      <family val="2"/>
    </font>
    <font>
      <b/>
      <sz val="11"/>
      <color theme="9" tint="-0.249977111117893"/>
      <name val="Arial"/>
      <family val="2"/>
    </font>
    <font>
      <b/>
      <sz val="11"/>
      <color rgb="FFFF3300"/>
      <name val="Arial"/>
      <family val="2"/>
    </font>
    <font>
      <sz val="48"/>
      <color rgb="FFFF0000"/>
      <name val="Arial"/>
      <family val="2"/>
    </font>
    <font>
      <sz val="10"/>
      <name val="Arial Narrow"/>
      <family val="2"/>
    </font>
    <font>
      <sz val="11"/>
      <color theme="1"/>
      <name val="Calibri"/>
      <family val="2"/>
      <scheme val="minor"/>
    </font>
    <font>
      <sz val="12"/>
      <name val="Arial Narrow"/>
      <family val="2"/>
    </font>
    <font>
      <sz val="10"/>
      <color theme="1"/>
      <name val="Arial Narrow"/>
      <family val="2"/>
    </font>
    <font>
      <sz val="9"/>
      <name val="Arial"/>
      <family val="2"/>
    </font>
    <font>
      <strike/>
      <sz val="10"/>
      <name val="Arial"/>
      <family val="2"/>
    </font>
    <font>
      <sz val="12"/>
      <name val="Arial"/>
      <family val="2"/>
    </font>
    <font>
      <b/>
      <sz val="10"/>
      <name val="Arial Narrow"/>
      <family val="2"/>
    </font>
    <font>
      <sz val="12"/>
      <color theme="1"/>
      <name val="Arial Narrow"/>
      <family val="2"/>
    </font>
    <font>
      <sz val="10"/>
      <color rgb="FFFF0000"/>
      <name val="Arial Narrow"/>
      <family val="2"/>
    </font>
    <font>
      <sz val="11"/>
      <name val="Calibri"/>
      <family val="2"/>
      <scheme val="minor"/>
    </font>
    <font>
      <sz val="11"/>
      <color rgb="FF92D050"/>
      <name val="Calibri"/>
      <family val="2"/>
      <scheme val="minor"/>
    </font>
    <font>
      <sz val="11"/>
      <color rgb="FF00B050"/>
      <name val="Calibri"/>
      <family val="2"/>
      <scheme val="minor"/>
    </font>
    <font>
      <sz val="11"/>
      <color rgb="FF92D050"/>
      <name val="Arial"/>
      <family val="2"/>
    </font>
    <font>
      <sz val="14"/>
      <name val="Arial Narrow"/>
      <family val="2"/>
    </font>
    <font>
      <sz val="11"/>
      <name val="Arial Narrow"/>
      <family val="2"/>
    </font>
    <font>
      <sz val="11"/>
      <color theme="1"/>
      <name val="Arial Narrow"/>
      <family val="2"/>
    </font>
    <font>
      <b/>
      <sz val="11"/>
      <name val="Arial Narrow"/>
      <family val="2"/>
    </font>
    <font>
      <i/>
      <sz val="11"/>
      <name val="Arial Narrow"/>
      <family val="2"/>
    </font>
    <font>
      <sz val="10"/>
      <color theme="0"/>
      <name val="Arial Narrow"/>
      <family val="2"/>
    </font>
    <font>
      <b/>
      <sz val="9"/>
      <name val="Arial"/>
      <family val="2"/>
    </font>
    <font>
      <b/>
      <sz val="10"/>
      <name val="Arial"/>
      <family val="2"/>
    </font>
    <font>
      <sz val="10"/>
      <name val="Arial"/>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276F5E"/>
        <bgColor indexed="64"/>
      </patternFill>
    </fill>
    <fill>
      <patternFill patternType="solid">
        <fgColor rgb="FFFFFF00"/>
        <bgColor indexed="64"/>
      </patternFill>
    </fill>
    <fill>
      <patternFill patternType="solid">
        <fgColor theme="9"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6"/>
        <bgColor indexed="64"/>
      </patternFill>
    </fill>
    <fill>
      <patternFill patternType="solid">
        <fgColor rgb="FFFFC000"/>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rgb="FF000000"/>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s>
  <cellStyleXfs count="5">
    <xf numFmtId="0" fontId="0" fillId="0" borderId="0"/>
    <xf numFmtId="0" fontId="1" fillId="0" borderId="0"/>
    <xf numFmtId="0" fontId="6" fillId="0" borderId="0"/>
    <xf numFmtId="0" fontId="15" fillId="0" borderId="0"/>
    <xf numFmtId="0" fontId="36" fillId="0" borderId="0"/>
  </cellStyleXfs>
  <cellXfs count="1110">
    <xf numFmtId="0" fontId="0" fillId="0" borderId="0" xfId="0"/>
    <xf numFmtId="0" fontId="4" fillId="0" borderId="0" xfId="1" applyFont="1" applyFill="1" applyBorder="1" applyAlignment="1">
      <alignment vertical="center" wrapText="1"/>
    </xf>
    <xf numFmtId="0" fontId="2" fillId="0" borderId="0" xfId="1" applyFont="1" applyAlignment="1">
      <alignment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2" fillId="0" borderId="0" xfId="1" applyFont="1" applyAlignment="1">
      <alignment horizontal="center" vertical="center"/>
    </xf>
    <xf numFmtId="0" fontId="2" fillId="0" borderId="0" xfId="1" applyFont="1" applyBorder="1" applyAlignment="1">
      <alignment vertical="center"/>
    </xf>
    <xf numFmtId="49" fontId="2" fillId="0" borderId="0" xfId="1" applyNumberFormat="1" applyFont="1" applyBorder="1" applyAlignment="1">
      <alignment horizontal="left" vertical="center"/>
    </xf>
    <xf numFmtId="0" fontId="2" fillId="0" borderId="0" xfId="1" applyFont="1" applyAlignment="1">
      <alignment horizontal="left" vertical="center"/>
    </xf>
    <xf numFmtId="0" fontId="2" fillId="0" borderId="0" xfId="1" applyNumberFormat="1" applyFont="1" applyBorder="1" applyAlignment="1">
      <alignment vertical="top" wrapText="1"/>
    </xf>
    <xf numFmtId="0" fontId="3" fillId="0" borderId="0" xfId="1" applyFont="1" applyAlignment="1">
      <alignment vertical="center"/>
    </xf>
    <xf numFmtId="0" fontId="2" fillId="0" borderId="0" xfId="1" applyNumberFormat="1" applyFont="1" applyBorder="1" applyAlignment="1">
      <alignment horizontal="left" vertical="center" wrapText="1"/>
    </xf>
    <xf numFmtId="49" fontId="2" fillId="0" borderId="0" xfId="1" applyNumberFormat="1" applyFont="1" applyBorder="1" applyAlignment="1">
      <alignment vertical="center"/>
    </xf>
    <xf numFmtId="0" fontId="2" fillId="0" borderId="0" xfId="1" applyFont="1" applyBorder="1" applyAlignment="1">
      <alignment horizontal="left" vertical="center"/>
    </xf>
    <xf numFmtId="0" fontId="3" fillId="0" borderId="0" xfId="1" applyFont="1" applyAlignment="1">
      <alignment horizontal="center" vertical="center"/>
    </xf>
    <xf numFmtId="49" fontId="2" fillId="0" borderId="0" xfId="1" applyNumberFormat="1" applyFont="1" applyBorder="1" applyAlignment="1">
      <alignment horizontal="center" vertical="center"/>
    </xf>
    <xf numFmtId="0" fontId="3" fillId="2" borderId="2" xfId="1" applyFont="1" applyFill="1" applyBorder="1" applyAlignment="1">
      <alignment horizontal="center" vertical="center" wrapText="1"/>
    </xf>
    <xf numFmtId="0" fontId="2" fillId="0" borderId="0" xfId="1" applyFont="1" applyFill="1" applyAlignment="1">
      <alignment vertical="center"/>
    </xf>
    <xf numFmtId="0" fontId="2" fillId="2" borderId="1" xfId="1" applyFont="1" applyFill="1" applyBorder="1" applyAlignment="1">
      <alignment horizontal="center" vertical="center" wrapText="1"/>
    </xf>
    <xf numFmtId="0" fontId="2" fillId="2" borderId="1" xfId="2"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0" fontId="2"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5" fillId="3" borderId="1" xfId="2"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0" borderId="1" xfId="1" applyFont="1" applyBorder="1" applyAlignment="1">
      <alignment vertical="center"/>
    </xf>
    <xf numFmtId="0" fontId="5" fillId="0" borderId="0" xfId="1" applyFont="1" applyFill="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horizontal="center" vertical="center"/>
    </xf>
    <xf numFmtId="0" fontId="2" fillId="0" borderId="0" xfId="1" applyFont="1" applyFill="1" applyAlignment="1">
      <alignment horizontal="center" vertical="center"/>
    </xf>
    <xf numFmtId="0" fontId="2" fillId="0" borderId="0" xfId="1" applyFont="1" applyBorder="1" applyAlignment="1">
      <alignment vertical="center" wrapText="1"/>
    </xf>
    <xf numFmtId="0" fontId="5" fillId="0" borderId="0" xfId="1" applyFont="1" applyBorder="1" applyAlignment="1">
      <alignment horizontal="center" vertical="center"/>
    </xf>
    <xf numFmtId="0" fontId="7" fillId="0" borderId="20" xfId="1" applyFont="1" applyBorder="1" applyAlignment="1">
      <alignment horizontal="center" vertical="center" wrapText="1" readingOrder="1"/>
    </xf>
    <xf numFmtId="0" fontId="7" fillId="0" borderId="20" xfId="1" applyFont="1" applyBorder="1" applyAlignment="1">
      <alignment horizontal="center" vertical="center" wrapText="1"/>
    </xf>
    <xf numFmtId="0" fontId="7" fillId="0" borderId="21" xfId="1" applyFont="1" applyBorder="1" applyAlignment="1">
      <alignment horizontal="left" vertical="center" wrapText="1" readingOrder="1"/>
    </xf>
    <xf numFmtId="0" fontId="8" fillId="5" borderId="21" xfId="1" applyFont="1" applyFill="1" applyBorder="1" applyAlignment="1">
      <alignment horizontal="center" vertical="center" wrapText="1" readingOrder="1"/>
    </xf>
    <xf numFmtId="0" fontId="8" fillId="6" borderId="21" xfId="1" applyFont="1" applyFill="1" applyBorder="1" applyAlignment="1">
      <alignment horizontal="center" vertical="center" wrapText="1" readingOrder="1"/>
    </xf>
    <xf numFmtId="0" fontId="8" fillId="7" borderId="21" xfId="1" applyFont="1" applyFill="1" applyBorder="1" applyAlignment="1">
      <alignment horizontal="center" vertical="center" wrapText="1" readingOrder="1"/>
    </xf>
    <xf numFmtId="0" fontId="8" fillId="8" borderId="21" xfId="1" applyFont="1" applyFill="1" applyBorder="1" applyAlignment="1">
      <alignment horizontal="center" vertical="center" wrapText="1" readingOrder="1"/>
    </xf>
    <xf numFmtId="0" fontId="9" fillId="0" borderId="0" xfId="1" applyFont="1" applyAlignment="1">
      <alignment horizontal="left" vertical="center" readingOrder="1"/>
    </xf>
    <xf numFmtId="0" fontId="10" fillId="0" borderId="0" xfId="1" applyFont="1" applyAlignment="1">
      <alignment horizontal="left" vertical="center" readingOrder="1"/>
    </xf>
    <xf numFmtId="0" fontId="11" fillId="0" borderId="0" xfId="1" applyFont="1" applyAlignment="1">
      <alignment horizontal="left" vertical="center" readingOrder="1"/>
    </xf>
    <xf numFmtId="0" fontId="12" fillId="0" borderId="0" xfId="1" applyFont="1" applyAlignment="1">
      <alignment horizontal="left" vertical="center" readingOrder="1"/>
    </xf>
    <xf numFmtId="0" fontId="2" fillId="2" borderId="1"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1" xfId="1" applyFont="1" applyBorder="1" applyAlignment="1">
      <alignment horizontal="center" vertical="center"/>
    </xf>
    <xf numFmtId="0" fontId="13" fillId="0" borderId="0" xfId="1" applyFont="1" applyFill="1" applyBorder="1" applyAlignment="1">
      <alignment vertical="center"/>
    </xf>
    <xf numFmtId="0" fontId="2" fillId="0" borderId="1" xfId="1" applyFont="1" applyBorder="1" applyAlignment="1">
      <alignment horizontal="center" vertical="center"/>
    </xf>
    <xf numFmtId="0" fontId="2" fillId="2" borderId="16"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1" xfId="1" applyFont="1" applyBorder="1" applyAlignment="1">
      <alignment horizontal="center" vertical="center"/>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2" fillId="0" borderId="22" xfId="1" applyFont="1" applyBorder="1" applyAlignment="1">
      <alignment horizontal="center" vertical="center" wrapText="1"/>
    </xf>
    <xf numFmtId="0" fontId="2" fillId="2" borderId="1"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2" fillId="2" borderId="12"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3" fillId="0" borderId="5" xfId="1" applyFont="1" applyBorder="1" applyAlignment="1">
      <alignment horizontal="center" vertical="center"/>
    </xf>
    <xf numFmtId="0" fontId="3" fillId="2" borderId="4" xfId="1" applyFont="1" applyFill="1" applyBorder="1" applyAlignment="1">
      <alignment horizontal="center" vertical="center" wrapText="1"/>
    </xf>
    <xf numFmtId="0" fontId="7" fillId="4" borderId="0" xfId="1" applyFont="1" applyFill="1" applyBorder="1" applyAlignment="1">
      <alignment horizontal="center" vertical="center" wrapText="1" readingOrder="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1" applyFont="1" applyBorder="1" applyAlignment="1" applyProtection="1">
      <alignment vertical="center" wrapText="1"/>
      <protection locked="0"/>
    </xf>
    <xf numFmtId="164" fontId="14" fillId="0" borderId="5" xfId="1" applyNumberFormat="1" applyFont="1" applyFill="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2" fillId="0" borderId="0" xfId="1" applyFont="1" applyBorder="1" applyAlignment="1">
      <alignment horizontal="center" vertical="center" wrapText="1"/>
    </xf>
    <xf numFmtId="0" fontId="14" fillId="6" borderId="13" xfId="1" applyFont="1" applyFill="1" applyBorder="1" applyAlignment="1" applyProtection="1">
      <alignment horizontal="center" vertical="center" wrapText="1"/>
    </xf>
    <xf numFmtId="0" fontId="14" fillId="0" borderId="13" xfId="1" applyFont="1" applyBorder="1" applyAlignment="1" applyProtection="1">
      <alignment horizontal="center" vertical="center" wrapText="1"/>
      <protection locked="0"/>
    </xf>
    <xf numFmtId="0" fontId="14" fillId="3" borderId="1" xfId="1" applyFont="1" applyFill="1" applyBorder="1" applyAlignment="1" applyProtection="1">
      <alignment horizontal="center" vertical="center" wrapText="1"/>
      <protection locked="0"/>
    </xf>
    <xf numFmtId="0" fontId="2" fillId="2" borderId="7"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0" borderId="16" xfId="1" applyFont="1" applyBorder="1" applyAlignment="1">
      <alignment vertical="center" wrapText="1"/>
    </xf>
    <xf numFmtId="0" fontId="7" fillId="4" borderId="0" xfId="1" applyFont="1" applyFill="1" applyBorder="1" applyAlignment="1">
      <alignment horizontal="center" vertical="center" readingOrder="1"/>
    </xf>
    <xf numFmtId="0" fontId="14" fillId="6" borderId="1" xfId="1" applyFont="1" applyFill="1" applyBorder="1" applyAlignment="1" applyProtection="1">
      <alignment horizontal="center" vertical="center" wrapText="1"/>
    </xf>
    <xf numFmtId="0" fontId="14" fillId="3" borderId="1" xfId="1" applyFont="1" applyFill="1" applyBorder="1" applyAlignment="1" applyProtection="1">
      <alignment horizontal="left" vertical="center" wrapText="1"/>
      <protection locked="0"/>
    </xf>
    <xf numFmtId="0" fontId="7" fillId="0" borderId="0" xfId="1" applyFont="1" applyBorder="1" applyAlignment="1">
      <alignment horizontal="center" vertical="center" wrapText="1" readingOrder="1"/>
    </xf>
    <xf numFmtId="0" fontId="8" fillId="6" borderId="0" xfId="1" applyFont="1" applyFill="1" applyBorder="1" applyAlignment="1">
      <alignment horizontal="center" vertical="center" wrapText="1" readingOrder="1"/>
    </xf>
    <xf numFmtId="0" fontId="8" fillId="7" borderId="0" xfId="1" applyFont="1" applyFill="1" applyBorder="1" applyAlignment="1">
      <alignment horizontal="center" vertical="center" wrapText="1" readingOrder="1"/>
    </xf>
    <xf numFmtId="0" fontId="8" fillId="8" borderId="0" xfId="1" applyFont="1" applyFill="1" applyBorder="1" applyAlignment="1">
      <alignment horizontal="center" vertical="center" wrapText="1" readingOrder="1"/>
    </xf>
    <xf numFmtId="0" fontId="16" fillId="0" borderId="1" xfId="1" applyNumberFormat="1" applyFont="1" applyBorder="1" applyAlignment="1" applyProtection="1">
      <alignment horizontal="left" vertical="center" wrapText="1"/>
    </xf>
    <xf numFmtId="0" fontId="16" fillId="0" borderId="1" xfId="1" applyNumberFormat="1" applyFont="1" applyBorder="1" applyAlignment="1" applyProtection="1">
      <alignment horizontal="left" vertical="center" wrapText="1"/>
    </xf>
    <xf numFmtId="0" fontId="16" fillId="0" borderId="1" xfId="1" applyNumberFormat="1" applyFont="1" applyBorder="1" applyAlignment="1" applyProtection="1">
      <alignment horizontal="left" vertical="center" wrapText="1"/>
    </xf>
    <xf numFmtId="0" fontId="16" fillId="0" borderId="1" xfId="1" applyNumberFormat="1" applyFont="1" applyBorder="1" applyAlignment="1" applyProtection="1">
      <alignment horizontal="left" vertical="center" wrapText="1"/>
    </xf>
    <xf numFmtId="0" fontId="16" fillId="0" borderId="1" xfId="1" applyNumberFormat="1" applyFont="1" applyBorder="1" applyAlignment="1" applyProtection="1">
      <alignment horizontal="center" vertical="center" wrapText="1"/>
    </xf>
    <xf numFmtId="0" fontId="16" fillId="3" borderId="1" xfId="1" applyFont="1" applyFill="1" applyBorder="1" applyAlignment="1" applyProtection="1">
      <alignment horizontal="center" vertical="center" wrapText="1"/>
    </xf>
    <xf numFmtId="0" fontId="16" fillId="3" borderId="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6" fillId="6" borderId="1" xfId="1" applyFont="1" applyFill="1" applyBorder="1" applyAlignment="1" applyProtection="1">
      <alignment horizontal="center" vertical="center" wrapText="1"/>
    </xf>
    <xf numFmtId="0" fontId="20" fillId="3" borderId="1" xfId="1" applyFont="1" applyFill="1" applyBorder="1" applyAlignment="1">
      <alignment horizontal="center" vertical="center" wrapText="1"/>
    </xf>
    <xf numFmtId="0" fontId="16" fillId="6" borderId="1" xfId="1" applyFont="1" applyFill="1" applyBorder="1" applyAlignment="1" applyProtection="1">
      <alignment horizontal="center" vertical="center" wrapText="1"/>
    </xf>
    <xf numFmtId="0" fontId="16" fillId="0" borderId="1" xfId="1" applyFont="1" applyBorder="1" applyAlignment="1" applyProtection="1">
      <alignment horizontal="center" vertical="center" wrapText="1"/>
      <protection locked="0"/>
    </xf>
    <xf numFmtId="0" fontId="16" fillId="0" borderId="1" xfId="1" applyFont="1" applyFill="1" applyBorder="1" applyAlignment="1" applyProtection="1">
      <alignment horizontal="center" vertical="center" wrapText="1"/>
      <protection locked="0"/>
    </xf>
    <xf numFmtId="0" fontId="2" fillId="2" borderId="1"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2" fillId="2" borderId="12"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0" fillId="3" borderId="1" xfId="1" applyFont="1" applyFill="1" applyBorder="1" applyAlignment="1">
      <alignment horizontal="center" vertical="center" wrapText="1"/>
    </xf>
    <xf numFmtId="164" fontId="16" fillId="0" borderId="5"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center" vertical="center" wrapText="1"/>
      <protection locked="0"/>
    </xf>
    <xf numFmtId="0" fontId="20" fillId="3" borderId="1" xfId="1" applyFont="1" applyFill="1" applyBorder="1" applyAlignment="1">
      <alignment horizontal="center" vertical="center" wrapText="1"/>
    </xf>
    <xf numFmtId="0" fontId="16" fillId="0" borderId="13" xfId="1" applyNumberFormat="1" applyFont="1" applyBorder="1" applyAlignment="1" applyProtection="1">
      <alignment horizontal="left" vertical="center" wrapText="1"/>
    </xf>
    <xf numFmtId="0" fontId="16" fillId="0" borderId="13" xfId="1" applyNumberFormat="1" applyFont="1" applyBorder="1" applyAlignment="1" applyProtection="1">
      <alignment horizontal="left" vertical="center" wrapText="1"/>
    </xf>
    <xf numFmtId="0" fontId="16" fillId="0" borderId="13" xfId="1" applyNumberFormat="1" applyFont="1" applyBorder="1" applyAlignment="1" applyProtection="1">
      <alignment horizontal="left" vertical="center" wrapText="1"/>
    </xf>
    <xf numFmtId="0" fontId="16" fillId="0" borderId="13" xfId="1" applyNumberFormat="1" applyFont="1" applyBorder="1" applyAlignment="1" applyProtection="1">
      <alignment horizontal="left" vertical="center" wrapText="1"/>
    </xf>
    <xf numFmtId="0" fontId="16" fillId="0" borderId="13" xfId="1" applyNumberFormat="1" applyFont="1" applyBorder="1" applyAlignment="1" applyProtection="1">
      <alignment horizontal="center" vertical="center" wrapText="1"/>
    </xf>
    <xf numFmtId="0" fontId="16" fillId="3" borderId="13" xfId="1" applyFont="1" applyFill="1" applyBorder="1" applyAlignment="1" applyProtection="1">
      <alignment horizontal="center" vertical="center" wrapText="1"/>
    </xf>
    <xf numFmtId="0" fontId="16" fillId="3" borderId="13" xfId="1" applyFont="1" applyFill="1" applyBorder="1" applyAlignment="1" applyProtection="1">
      <alignment horizontal="center" vertical="center" wrapText="1"/>
    </xf>
    <xf numFmtId="0" fontId="16" fillId="0" borderId="13" xfId="1" applyFont="1" applyFill="1" applyBorder="1" applyAlignment="1" applyProtection="1">
      <alignment horizontal="center" vertical="center" wrapText="1"/>
    </xf>
    <xf numFmtId="0" fontId="16" fillId="0" borderId="13" xfId="1" applyFont="1" applyFill="1" applyBorder="1" applyAlignment="1" applyProtection="1">
      <alignment horizontal="center" vertical="center" wrapText="1"/>
    </xf>
    <xf numFmtId="0" fontId="16" fillId="6" borderId="13" xfId="1" applyFont="1" applyFill="1" applyBorder="1" applyAlignment="1" applyProtection="1">
      <alignment horizontal="center" vertical="center" wrapText="1"/>
    </xf>
    <xf numFmtId="0" fontId="20" fillId="3" borderId="1" xfId="1" applyFont="1" applyFill="1" applyBorder="1" applyAlignment="1">
      <alignment horizontal="center" vertical="center" wrapText="1"/>
    </xf>
    <xf numFmtId="0" fontId="16" fillId="6" borderId="13" xfId="1" applyFont="1" applyFill="1" applyBorder="1" applyAlignment="1" applyProtection="1">
      <alignment horizontal="center" vertical="center" wrapText="1"/>
    </xf>
    <xf numFmtId="0" fontId="16" fillId="0" borderId="1" xfId="1" applyNumberFormat="1" applyFont="1" applyBorder="1" applyAlignment="1" applyProtection="1">
      <alignment horizontal="left" vertical="center" wrapText="1"/>
    </xf>
    <xf numFmtId="0" fontId="16" fillId="0" borderId="1" xfId="1" applyNumberFormat="1" applyFont="1" applyBorder="1" applyAlignment="1" applyProtection="1">
      <alignment horizontal="left" vertical="center" wrapText="1"/>
    </xf>
    <xf numFmtId="0" fontId="16" fillId="0" borderId="1" xfId="1" applyNumberFormat="1" applyFont="1" applyBorder="1" applyAlignment="1" applyProtection="1">
      <alignment horizontal="left" vertical="center" wrapText="1"/>
    </xf>
    <xf numFmtId="0" fontId="16" fillId="0" borderId="1" xfId="1" applyNumberFormat="1" applyFont="1" applyBorder="1" applyAlignment="1" applyProtection="1">
      <alignment horizontal="left" vertical="center" wrapText="1"/>
    </xf>
    <xf numFmtId="0" fontId="16" fillId="0" borderId="1" xfId="1" applyNumberFormat="1" applyFont="1" applyBorder="1" applyAlignment="1" applyProtection="1">
      <alignment horizontal="center" vertical="center" wrapText="1"/>
    </xf>
    <xf numFmtId="0" fontId="16" fillId="3" borderId="1" xfId="1" applyFont="1" applyFill="1" applyBorder="1" applyAlignment="1" applyProtection="1">
      <alignment horizontal="center" vertical="center" wrapText="1"/>
    </xf>
    <xf numFmtId="0" fontId="16" fillId="3" borderId="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6" fillId="6" borderId="1" xfId="1" applyFont="1" applyFill="1" applyBorder="1" applyAlignment="1" applyProtection="1">
      <alignment horizontal="center" vertical="center" wrapText="1"/>
    </xf>
    <xf numFmtId="0" fontId="20" fillId="3" borderId="1" xfId="1" applyFont="1" applyFill="1" applyBorder="1" applyAlignment="1">
      <alignment horizontal="center" vertical="center" wrapText="1"/>
    </xf>
    <xf numFmtId="0" fontId="16" fillId="6" borderId="1" xfId="1" applyFont="1" applyFill="1" applyBorder="1" applyAlignment="1" applyProtection="1">
      <alignment horizontal="center" vertical="center" wrapText="1"/>
    </xf>
    <xf numFmtId="164" fontId="16" fillId="0" borderId="5" xfId="1" applyNumberFormat="1" applyFont="1" applyFill="1" applyBorder="1" applyAlignment="1" applyProtection="1">
      <alignment horizontal="center" vertical="center" wrapText="1"/>
      <protection locked="0"/>
    </xf>
    <xf numFmtId="164" fontId="16" fillId="0" borderId="5" xfId="1" applyNumberFormat="1" applyFont="1" applyFill="1" applyBorder="1" applyAlignment="1" applyProtection="1">
      <alignment horizontal="center" vertical="center" wrapText="1"/>
      <protection locked="0"/>
    </xf>
    <xf numFmtId="0" fontId="20" fillId="3" borderId="1" xfId="1" applyFont="1" applyFill="1" applyBorder="1" applyAlignment="1">
      <alignment horizontal="center" vertical="center" wrapText="1"/>
    </xf>
    <xf numFmtId="0" fontId="20" fillId="3" borderId="1" xfId="1" applyFont="1" applyFill="1" applyBorder="1" applyAlignment="1">
      <alignment horizontal="center" vertical="center" wrapText="1"/>
    </xf>
    <xf numFmtId="10" fontId="20" fillId="3" borderId="1" xfId="1" applyNumberFormat="1" applyFont="1" applyFill="1" applyBorder="1" applyAlignment="1">
      <alignment horizontal="center" vertical="center" wrapText="1"/>
    </xf>
    <xf numFmtId="0" fontId="20" fillId="0" borderId="1" xfId="1" applyFont="1" applyBorder="1" applyAlignment="1">
      <alignment horizontal="center" vertical="center" wrapText="1"/>
    </xf>
    <xf numFmtId="0" fontId="16" fillId="0" borderId="5" xfId="1" applyFont="1" applyFill="1" applyBorder="1" applyAlignment="1" applyProtection="1">
      <alignment horizontal="center" vertical="center" wrapText="1"/>
      <protection locked="0"/>
    </xf>
    <xf numFmtId="0" fontId="16" fillId="6" borderId="13" xfId="1" applyFont="1" applyFill="1" applyBorder="1" applyAlignment="1" applyProtection="1">
      <alignment horizontal="center" vertical="center" wrapText="1"/>
    </xf>
    <xf numFmtId="0" fontId="16" fillId="0" borderId="13" xfId="1" applyFont="1" applyBorder="1" applyAlignment="1" applyProtection="1">
      <alignment horizontal="center" vertical="center" wrapText="1"/>
      <protection locked="0"/>
    </xf>
    <xf numFmtId="0" fontId="16" fillId="0" borderId="13" xfId="1" applyFont="1" applyFill="1" applyBorder="1" applyAlignment="1" applyProtection="1">
      <alignment horizontal="center" vertical="center" wrapText="1"/>
      <protection locked="0"/>
    </xf>
    <xf numFmtId="0" fontId="20" fillId="3" borderId="1" xfId="1" applyFont="1" applyFill="1" applyBorder="1" applyAlignment="1">
      <alignment horizontal="center" vertical="center" wrapText="1"/>
    </xf>
    <xf numFmtId="0" fontId="16" fillId="6" borderId="1" xfId="1" applyFont="1" applyFill="1" applyBorder="1" applyAlignment="1" applyProtection="1">
      <alignment horizontal="center" vertical="center" wrapText="1"/>
    </xf>
    <xf numFmtId="0" fontId="16" fillId="0" borderId="1" xfId="1" applyFont="1" applyBorder="1" applyAlignment="1" applyProtection="1">
      <alignment horizontal="center" vertical="center" wrapText="1"/>
      <protection locked="0"/>
    </xf>
    <xf numFmtId="0" fontId="16" fillId="0" borderId="1" xfId="1" applyFont="1" applyFill="1" applyBorder="1" applyAlignment="1" applyProtection="1">
      <alignment horizontal="center" vertical="center" wrapText="1"/>
      <protection locked="0"/>
    </xf>
    <xf numFmtId="0" fontId="20" fillId="3" borderId="1"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protection locked="0"/>
    </xf>
    <xf numFmtId="0" fontId="14" fillId="6" borderId="1" xfId="1" applyFont="1" applyFill="1" applyBorder="1" applyAlignment="1" applyProtection="1">
      <alignment horizontal="center" vertical="center" wrapText="1"/>
    </xf>
    <xf numFmtId="0" fontId="2" fillId="3" borderId="1" xfId="2" applyFont="1" applyFill="1" applyBorder="1" applyAlignment="1" applyProtection="1">
      <alignment horizontal="center" vertical="center" wrapText="1"/>
      <protection locked="0"/>
    </xf>
    <xf numFmtId="0" fontId="16" fillId="0" borderId="1" xfId="1" applyFont="1" applyBorder="1" applyAlignment="1" applyProtection="1">
      <alignment vertical="center"/>
      <protection locked="0"/>
    </xf>
    <xf numFmtId="0" fontId="2" fillId="3" borderId="1" xfId="1" applyFont="1" applyFill="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164" fontId="14" fillId="0" borderId="5" xfId="1" applyNumberFormat="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Font="1" applyFill="1" applyBorder="1" applyAlignment="1" applyProtection="1">
      <alignment vertical="center" wrapText="1"/>
      <protection locked="0"/>
    </xf>
    <xf numFmtId="164" fontId="14" fillId="0" borderId="5" xfId="1" applyNumberFormat="1" applyFont="1" applyFill="1" applyBorder="1" applyAlignment="1" applyProtection="1">
      <alignment horizontal="center" vertical="center" wrapText="1"/>
      <protection locked="0"/>
    </xf>
    <xf numFmtId="0" fontId="14" fillId="0" borderId="13" xfId="1" applyNumberFormat="1" applyFont="1" applyBorder="1" applyAlignment="1" applyProtection="1">
      <alignment horizontal="center"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protection locked="0"/>
    </xf>
    <xf numFmtId="0" fontId="14" fillId="6" borderId="1" xfId="1" applyFont="1" applyFill="1" applyBorder="1" applyAlignment="1" applyProtection="1">
      <alignment horizontal="center" vertical="center" wrapText="1"/>
    </xf>
    <xf numFmtId="0" fontId="2" fillId="3" borderId="1" xfId="2" applyFont="1" applyFill="1" applyBorder="1" applyAlignment="1" applyProtection="1">
      <alignment horizontal="center" vertical="center" wrapText="1"/>
      <protection locked="0"/>
    </xf>
    <xf numFmtId="0" fontId="16" fillId="0" borderId="1" xfId="1" applyFont="1" applyBorder="1" applyAlignment="1" applyProtection="1">
      <alignment vertical="center"/>
      <protection locked="0"/>
    </xf>
    <xf numFmtId="0" fontId="2" fillId="3" borderId="1" xfId="1"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Font="1" applyFill="1" applyBorder="1" applyAlignment="1" applyProtection="1">
      <alignment vertical="center" wrapText="1"/>
      <protection locked="0"/>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2" fillId="3" borderId="1" xfId="1" applyFont="1" applyFill="1" applyBorder="1" applyAlignment="1">
      <alignment horizontal="left" vertical="center" wrapText="1"/>
    </xf>
    <xf numFmtId="0" fontId="2" fillId="3" borderId="1" xfId="2"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164" fontId="14" fillId="0" borderId="5" xfId="1" applyNumberFormat="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Font="1" applyFill="1" applyBorder="1" applyAlignment="1" applyProtection="1">
      <alignment vertical="center" wrapText="1"/>
      <protection locked="0"/>
    </xf>
    <xf numFmtId="0" fontId="14" fillId="3" borderId="13" xfId="1" applyFont="1" applyFill="1" applyBorder="1" applyAlignment="1" applyProtection="1">
      <alignment horizontal="center" vertical="center" wrapText="1"/>
    </xf>
    <xf numFmtId="0" fontId="2" fillId="0" borderId="1" xfId="2" applyFont="1" applyBorder="1" applyAlignment="1">
      <alignmen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2" fillId="0" borderId="14" xfId="2" applyFont="1" applyBorder="1" applyAlignment="1">
      <alignment horizontal="left" vertical="center" wrapText="1"/>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2" fillId="0" borderId="14" xfId="2" applyFont="1" applyBorder="1" applyAlignment="1">
      <alignment horizontal="left" vertical="center" wrapText="1"/>
    </xf>
    <xf numFmtId="0" fontId="14" fillId="0" borderId="5"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2" fillId="3" borderId="23" xfId="1" applyFont="1" applyFill="1" applyBorder="1" applyAlignment="1">
      <alignment horizontal="left" vertical="center" wrapText="1"/>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2" fillId="3" borderId="23" xfId="1" applyFont="1" applyFill="1" applyBorder="1" applyAlignment="1">
      <alignment horizontal="left" vertical="center" wrapText="1"/>
    </xf>
    <xf numFmtId="0" fontId="14" fillId="0" borderId="5" xfId="1" applyFont="1" applyFill="1" applyBorder="1" applyAlignment="1" applyProtection="1">
      <alignment horizontal="center" vertical="center" wrapText="1"/>
      <protection locked="0"/>
    </xf>
    <xf numFmtId="0" fontId="14" fillId="0" borderId="13"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justify" vertical="center" wrapText="1"/>
    </xf>
    <xf numFmtId="0" fontId="14" fillId="0" borderId="1" xfId="1" applyNumberFormat="1" applyFont="1" applyBorder="1" applyAlignment="1" applyProtection="1">
      <alignment horizontal="center" vertical="center" wrapText="1"/>
    </xf>
    <xf numFmtId="0" fontId="14" fillId="0" borderId="1" xfId="1" applyNumberFormat="1" applyFont="1" applyBorder="1" applyAlignment="1" applyProtection="1">
      <alignment horizontal="center" vertical="center" wrapText="1"/>
    </xf>
    <xf numFmtId="0" fontId="14" fillId="0" borderId="13" xfId="1" applyFont="1" applyFill="1" applyBorder="1" applyAlignment="1" applyProtection="1">
      <alignment horizontal="center" vertical="center" wrapText="1"/>
    </xf>
    <xf numFmtId="0" fontId="2" fillId="3" borderId="13" xfId="1" applyFont="1" applyFill="1" applyBorder="1" applyAlignment="1">
      <alignment horizontal="left" vertical="center" wrapText="1"/>
    </xf>
    <xf numFmtId="0" fontId="14" fillId="0" borderId="2"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center"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5" fillId="0" borderId="1" xfId="1" applyFont="1" applyFill="1" applyBorder="1" applyAlignment="1" applyProtection="1">
      <alignment horizontal="justify" vertical="center" wrapText="1"/>
      <protection locked="0"/>
    </xf>
    <xf numFmtId="0" fontId="2" fillId="0" borderId="24" xfId="2" applyFont="1" applyBorder="1" applyAlignment="1">
      <alignment vertical="center" wrapText="1"/>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2" fillId="3" borderId="1" xfId="2" applyFont="1" applyFill="1" applyBorder="1" applyAlignment="1" applyProtection="1">
      <alignment horizontal="left"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Font="1" applyFill="1" applyBorder="1" applyAlignment="1" applyProtection="1">
      <alignment vertical="center" wrapText="1"/>
      <protection locked="0"/>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center" vertical="center" wrapText="1"/>
    </xf>
    <xf numFmtId="0" fontId="15" fillId="0" borderId="14" xfId="2" applyFont="1" applyBorder="1" applyAlignment="1" applyProtection="1">
      <alignment horizontal="justify" vertical="center" wrapText="1"/>
      <protection locked="0"/>
    </xf>
    <xf numFmtId="0" fontId="24" fillId="0" borderId="1" xfId="1" applyFont="1" applyBorder="1" applyAlignment="1" applyProtection="1">
      <alignment horizontal="center" vertical="center" wrapText="1"/>
      <protection locked="0"/>
    </xf>
    <xf numFmtId="0" fontId="24" fillId="0" borderId="1" xfId="1" applyFont="1" applyFill="1" applyBorder="1" applyAlignment="1" applyProtection="1">
      <alignment horizontal="center" vertical="center" wrapText="1"/>
      <protection locked="0"/>
    </xf>
    <xf numFmtId="0" fontId="24" fillId="3" borderId="1" xfId="1" applyFont="1" applyFill="1" applyBorder="1" applyAlignment="1" applyProtection="1">
      <alignment horizontal="left" vertical="center" wrapText="1"/>
      <protection locked="0"/>
    </xf>
    <xf numFmtId="0" fontId="24" fillId="0" borderId="1" xfId="1" applyFont="1" applyFill="1" applyBorder="1" applyAlignment="1" applyProtection="1">
      <alignment horizontal="center" vertical="center" wrapText="1"/>
      <protection locked="0"/>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6" borderId="1" xfId="1" applyFont="1" applyFill="1" applyBorder="1" applyAlignment="1" applyProtection="1">
      <alignment horizontal="center" vertical="center" wrapText="1"/>
    </xf>
    <xf numFmtId="0" fontId="24" fillId="3" borderId="1" xfId="1" applyFont="1" applyFill="1" applyBorder="1" applyAlignment="1" applyProtection="1">
      <alignment horizontal="justify" vertical="center" wrapText="1"/>
      <protection locked="0"/>
    </xf>
    <xf numFmtId="0" fontId="24" fillId="6" borderId="1" xfId="1" applyFont="1" applyFill="1" applyBorder="1" applyAlignment="1" applyProtection="1">
      <alignment horizontal="center" vertical="center" wrapText="1"/>
    </xf>
    <xf numFmtId="0" fontId="24" fillId="0" borderId="1" xfId="1" applyFont="1" applyBorder="1" applyAlignment="1" applyProtection="1">
      <alignment horizontal="center" vertical="center" wrapText="1"/>
      <protection locked="0"/>
    </xf>
    <xf numFmtId="0" fontId="24" fillId="0" borderId="1" xfId="1" applyFont="1" applyFill="1" applyBorder="1" applyAlignment="1" applyProtection="1">
      <alignment horizontal="center" vertical="center" wrapText="1"/>
      <protection locked="0"/>
    </xf>
    <xf numFmtId="0" fontId="24" fillId="3" borderId="1" xfId="1" applyFont="1" applyFill="1" applyBorder="1" applyAlignment="1" applyProtection="1">
      <alignment vertical="center" wrapText="1"/>
      <protection locked="0"/>
    </xf>
    <xf numFmtId="0" fontId="24" fillId="0" borderId="1" xfId="1" applyFont="1" applyFill="1" applyBorder="1" applyAlignment="1" applyProtection="1">
      <alignment horizontal="center" vertical="center" wrapText="1"/>
      <protection locked="0"/>
    </xf>
    <xf numFmtId="0" fontId="24" fillId="0" borderId="5" xfId="1" applyFont="1" applyFill="1" applyBorder="1" applyAlignment="1" applyProtection="1">
      <alignment horizontal="left" vertical="center" wrapText="1"/>
      <protection locked="0"/>
    </xf>
    <xf numFmtId="0" fontId="24" fillId="0" borderId="5" xfId="1" applyFont="1" applyFill="1" applyBorder="1" applyAlignment="1" applyProtection="1">
      <alignment horizontal="center" vertical="center" wrapText="1"/>
      <protection locked="0"/>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left" vertical="center" wrapText="1"/>
    </xf>
    <xf numFmtId="0" fontId="24" fillId="0" borderId="1" xfId="1" applyNumberFormat="1" applyFont="1" applyBorder="1" applyAlignment="1" applyProtection="1">
      <alignment horizontal="center" vertical="center" wrapText="1"/>
    </xf>
    <xf numFmtId="0" fontId="24" fillId="3" borderId="1" xfId="1" applyFont="1" applyFill="1" applyBorder="1" applyAlignment="1" applyProtection="1">
      <alignment horizontal="center" vertical="center" wrapText="1"/>
    </xf>
    <xf numFmtId="0" fontId="24" fillId="3" borderId="1" xfId="1" applyFont="1" applyFill="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6" borderId="1" xfId="1" applyFont="1" applyFill="1" applyBorder="1" applyAlignment="1" applyProtection="1">
      <alignment horizontal="center" vertical="center" wrapText="1"/>
    </xf>
    <xf numFmtId="0" fontId="24" fillId="3" borderId="1" xfId="1" applyFont="1" applyFill="1" applyBorder="1" applyAlignment="1" applyProtection="1">
      <alignment horizontal="justify" vertical="center" wrapText="1"/>
      <protection locked="0"/>
    </xf>
    <xf numFmtId="0" fontId="24" fillId="6" borderId="1" xfId="1" applyFont="1" applyFill="1" applyBorder="1" applyAlignment="1" applyProtection="1">
      <alignment horizontal="center" vertical="center" wrapText="1"/>
    </xf>
    <xf numFmtId="0" fontId="24" fillId="0" borderId="1" xfId="1" applyFont="1" applyBorder="1" applyAlignment="1" applyProtection="1">
      <alignment horizontal="center" vertical="center" wrapText="1"/>
      <protection locked="0"/>
    </xf>
    <xf numFmtId="0" fontId="24" fillId="0" borderId="1" xfId="1" applyFont="1" applyFill="1" applyBorder="1" applyAlignment="1" applyProtection="1">
      <alignment horizontal="center" vertical="center" wrapText="1"/>
      <protection locked="0"/>
    </xf>
    <xf numFmtId="0" fontId="24" fillId="3" borderId="1" xfId="1" applyFont="1" applyFill="1" applyBorder="1" applyAlignment="1" applyProtection="1">
      <alignment vertical="center" wrapText="1"/>
      <protection locked="0"/>
    </xf>
    <xf numFmtId="0" fontId="24" fillId="3" borderId="1" xfId="1" applyFont="1" applyFill="1" applyBorder="1" applyAlignment="1" applyProtection="1">
      <alignment horizontal="center" vertical="center" wrapText="1"/>
      <protection locked="0"/>
    </xf>
    <xf numFmtId="0" fontId="24" fillId="0" borderId="5" xfId="1" applyFont="1" applyFill="1" applyBorder="1" applyAlignment="1" applyProtection="1">
      <alignment horizontal="left" vertical="center" wrapText="1"/>
      <protection locked="0"/>
    </xf>
    <xf numFmtId="0" fontId="24" fillId="0" borderId="5" xfId="1" applyFont="1" applyFill="1" applyBorder="1" applyAlignment="1" applyProtection="1">
      <alignment horizontal="center" vertical="center" wrapText="1"/>
      <protection locked="0"/>
    </xf>
    <xf numFmtId="0" fontId="24" fillId="0" borderId="1" xfId="1" applyNumberFormat="1" applyFont="1" applyBorder="1" applyAlignment="1" applyProtection="1">
      <alignment horizontal="justify" vertical="center" wrapText="1"/>
    </xf>
    <xf numFmtId="0" fontId="24" fillId="0" borderId="1" xfId="1" applyNumberFormat="1" applyFont="1" applyBorder="1" applyAlignment="1" applyProtection="1">
      <alignment horizontal="center" vertical="center" wrapText="1"/>
    </xf>
    <xf numFmtId="0" fontId="24" fillId="0" borderId="1" xfId="1" applyNumberFormat="1" applyFont="1" applyBorder="1" applyAlignment="1" applyProtection="1">
      <alignment horizontal="center" vertical="center" wrapText="1"/>
    </xf>
    <xf numFmtId="0" fontId="24" fillId="0" borderId="1" xfId="1" applyNumberFormat="1" applyFont="1" applyBorder="1" applyAlignment="1" applyProtection="1">
      <alignment horizontal="center" vertical="center" wrapText="1"/>
    </xf>
    <xf numFmtId="0" fontId="24" fillId="0" borderId="1" xfId="1" applyNumberFormat="1" applyFont="1" applyBorder="1" applyAlignment="1" applyProtection="1">
      <alignment horizontal="center" vertical="center" wrapText="1"/>
    </xf>
    <xf numFmtId="0" fontId="24" fillId="3" borderId="1" xfId="1" applyFont="1" applyFill="1" applyBorder="1" applyAlignment="1" applyProtection="1">
      <alignment horizontal="center" vertical="center" wrapText="1"/>
    </xf>
    <xf numFmtId="0" fontId="24" fillId="3" borderId="1" xfId="1" applyFont="1" applyFill="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6" borderId="1" xfId="1" applyFont="1" applyFill="1" applyBorder="1" applyAlignment="1" applyProtection="1">
      <alignment horizontal="center" vertical="center" wrapText="1"/>
    </xf>
    <xf numFmtId="0" fontId="15" fillId="0" borderId="1" xfId="1" applyFont="1" applyFill="1" applyBorder="1" applyAlignment="1" applyProtection="1">
      <alignment horizontal="justify" vertical="center" wrapText="1"/>
      <protection locked="0"/>
    </xf>
    <xf numFmtId="0" fontId="24" fillId="0" borderId="1" xfId="1" applyFont="1" applyBorder="1" applyAlignment="1" applyProtection="1">
      <alignment horizontal="center" vertical="center" wrapText="1"/>
      <protection locked="0"/>
    </xf>
    <xf numFmtId="0" fontId="24" fillId="0" borderId="1" xfId="1" applyFont="1" applyFill="1" applyBorder="1" applyAlignment="1" applyProtection="1">
      <alignment horizontal="center" vertical="center" wrapText="1"/>
      <protection locked="0"/>
    </xf>
    <xf numFmtId="0" fontId="24" fillId="3" borderId="1" xfId="2" applyFont="1" applyFill="1" applyBorder="1" applyAlignment="1" applyProtection="1">
      <alignment horizontal="left" vertical="center" wrapText="1"/>
      <protection locked="0"/>
    </xf>
    <xf numFmtId="0" fontId="24" fillId="0" borderId="1" xfId="1" applyFont="1" applyFill="1" applyBorder="1" applyAlignment="1" applyProtection="1">
      <alignment horizontal="center" vertical="center" wrapText="1"/>
      <protection locked="0"/>
    </xf>
    <xf numFmtId="0" fontId="24" fillId="0" borderId="5" xfId="1" applyFont="1" applyFill="1" applyBorder="1" applyAlignment="1" applyProtection="1">
      <alignment horizontal="left" vertical="center" wrapText="1"/>
      <protection locked="0"/>
    </xf>
    <xf numFmtId="0" fontId="24" fillId="0" borderId="1" xfId="1" applyNumberFormat="1" applyFont="1" applyBorder="1" applyAlignment="1" applyProtection="1">
      <alignment vertical="center" wrapText="1"/>
    </xf>
    <xf numFmtId="0" fontId="24" fillId="0" borderId="1" xfId="1" applyNumberFormat="1" applyFont="1" applyBorder="1" applyAlignment="1" applyProtection="1">
      <alignment vertical="center" wrapText="1"/>
    </xf>
    <xf numFmtId="0" fontId="24" fillId="0" borderId="1" xfId="1" applyNumberFormat="1" applyFont="1" applyBorder="1" applyAlignment="1" applyProtection="1">
      <alignment vertical="center" wrapText="1"/>
    </xf>
    <xf numFmtId="0" fontId="24" fillId="0" borderId="1" xfId="1" applyNumberFormat="1" applyFont="1" applyBorder="1" applyAlignment="1" applyProtection="1">
      <alignment vertical="center" wrapText="1"/>
    </xf>
    <xf numFmtId="0" fontId="24" fillId="0" borderId="1" xfId="1" applyNumberFormat="1" applyFont="1" applyBorder="1" applyAlignment="1" applyProtection="1">
      <alignment horizontal="center" vertical="center" wrapText="1"/>
    </xf>
    <xf numFmtId="0" fontId="24" fillId="3" borderId="1" xfId="1" applyFont="1" applyFill="1" applyBorder="1" applyAlignment="1" applyProtection="1">
      <alignment horizontal="center" vertical="center" wrapText="1"/>
    </xf>
    <xf numFmtId="0" fontId="24" fillId="3" borderId="1" xfId="1" applyFont="1" applyFill="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0" borderId="1" xfId="1" applyFont="1" applyFill="1" applyBorder="1" applyAlignment="1" applyProtection="1">
      <alignment vertical="center" wrapText="1"/>
    </xf>
    <xf numFmtId="0" fontId="24" fillId="0" borderId="1" xfId="1" applyFont="1" applyFill="1" applyBorder="1" applyAlignment="1" applyProtection="1">
      <alignment vertical="center" wrapText="1"/>
      <protection locked="0"/>
    </xf>
    <xf numFmtId="0" fontId="24" fillId="0" borderId="1" xfId="1" applyFont="1" applyBorder="1" applyAlignment="1" applyProtection="1">
      <alignment horizontal="center" vertical="center" wrapText="1"/>
      <protection locked="0"/>
    </xf>
    <xf numFmtId="0" fontId="24" fillId="0" borderId="1" xfId="1" applyFont="1" applyFill="1" applyBorder="1" applyAlignment="1" applyProtection="1">
      <alignment horizontal="center" vertical="center" wrapText="1"/>
      <protection locked="0"/>
    </xf>
    <xf numFmtId="0" fontId="24" fillId="0" borderId="1" xfId="1" applyFont="1" applyFill="1" applyBorder="1" applyAlignment="1" applyProtection="1">
      <alignment vertical="center" wrapText="1"/>
      <protection locked="0"/>
    </xf>
    <xf numFmtId="0" fontId="24" fillId="0" borderId="1" xfId="1" applyFont="1" applyFill="1" applyBorder="1" applyAlignment="1" applyProtection="1">
      <alignment vertical="center" wrapText="1"/>
      <protection locked="0"/>
    </xf>
    <xf numFmtId="0" fontId="24" fillId="0" borderId="5" xfId="1" applyFont="1" applyFill="1" applyBorder="1" applyAlignment="1" applyProtection="1">
      <alignment vertical="center" wrapText="1"/>
      <protection locked="0"/>
    </xf>
    <xf numFmtId="0" fontId="24" fillId="0" borderId="5" xfId="1" applyFont="1" applyFill="1" applyBorder="1" applyAlignment="1" applyProtection="1">
      <alignment vertical="center" wrapText="1"/>
      <protection locked="0"/>
    </xf>
    <xf numFmtId="0" fontId="24" fillId="0" borderId="1" xfId="1" applyNumberFormat="1" applyFont="1" applyBorder="1" applyAlignment="1" applyProtection="1">
      <alignment horizontal="center" vertical="center" wrapText="1"/>
    </xf>
    <xf numFmtId="0" fontId="24" fillId="0" borderId="1" xfId="1" applyNumberFormat="1" applyFont="1" applyBorder="1" applyAlignment="1" applyProtection="1">
      <alignment horizontal="center" vertical="center" wrapText="1"/>
    </xf>
    <xf numFmtId="0" fontId="24" fillId="0" borderId="1" xfId="1" applyNumberFormat="1" applyFont="1" applyBorder="1" applyAlignment="1" applyProtection="1">
      <alignment horizontal="center" vertical="center" wrapText="1"/>
    </xf>
    <xf numFmtId="0" fontId="24" fillId="0" borderId="1" xfId="1" applyNumberFormat="1" applyFont="1" applyBorder="1" applyAlignment="1" applyProtection="1">
      <alignment horizontal="center" vertical="center" wrapText="1"/>
    </xf>
    <xf numFmtId="0" fontId="24" fillId="0" borderId="1" xfId="1" applyNumberFormat="1" applyFont="1" applyBorder="1" applyAlignment="1" applyProtection="1">
      <alignment horizontal="center" vertical="center" wrapText="1"/>
    </xf>
    <xf numFmtId="0" fontId="24" fillId="3" borderId="1" xfId="1" applyFont="1" applyFill="1" applyBorder="1" applyAlignment="1" applyProtection="1">
      <alignment horizontal="center" vertical="center" wrapText="1"/>
    </xf>
    <xf numFmtId="0" fontId="24" fillId="3" borderId="1" xfId="1" applyFont="1" applyFill="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0" borderId="1" xfId="1" applyFont="1" applyFill="1" applyBorder="1" applyAlignment="1" applyProtection="1">
      <alignment horizontal="left" vertical="center" wrapText="1"/>
      <protection locked="0"/>
    </xf>
    <xf numFmtId="0" fontId="24" fillId="0" borderId="1" xfId="1" applyFont="1" applyBorder="1" applyAlignment="1" applyProtection="1">
      <alignment horizontal="center" vertical="center" wrapText="1"/>
      <protection locked="0"/>
    </xf>
    <xf numFmtId="0" fontId="24" fillId="0" borderId="1"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center" vertical="center" wrapText="1"/>
      <protection locked="0"/>
    </xf>
    <xf numFmtId="0" fontId="24" fillId="0" borderId="5" xfId="1" applyFont="1" applyFill="1" applyBorder="1" applyAlignment="1" applyProtection="1">
      <alignment vertical="center" wrapText="1"/>
      <protection locked="0"/>
    </xf>
    <xf numFmtId="0" fontId="24" fillId="0" borderId="5" xfId="1" applyFont="1" applyFill="1" applyBorder="1" applyAlignment="1" applyProtection="1">
      <alignment vertical="center" wrapText="1"/>
      <protection locked="0"/>
    </xf>
    <xf numFmtId="0" fontId="24" fillId="3" borderId="1" xfId="1" applyFont="1" applyFill="1" applyBorder="1" applyAlignment="1" applyProtection="1">
      <alignment horizontal="left" vertical="center" wrapText="1"/>
      <protection locked="0"/>
    </xf>
    <xf numFmtId="0" fontId="24" fillId="0" borderId="1" xfId="1" applyFont="1" applyFill="1" applyBorder="1" applyAlignment="1" applyProtection="1">
      <alignment vertical="center" wrapText="1"/>
      <protection locked="0"/>
    </xf>
    <xf numFmtId="0" fontId="24" fillId="0" borderId="1" xfId="1" applyFont="1" applyFill="1" applyBorder="1" applyAlignment="1" applyProtection="1">
      <alignment vertical="center"/>
      <protection locked="0"/>
    </xf>
    <xf numFmtId="0" fontId="26" fillId="6" borderId="1" xfId="1" applyFont="1" applyFill="1" applyBorder="1" applyAlignment="1" applyProtection="1">
      <alignment horizontal="center" vertical="center" wrapText="1"/>
    </xf>
    <xf numFmtId="0" fontId="25" fillId="6" borderId="1" xfId="1" applyFont="1" applyFill="1" applyBorder="1" applyAlignment="1" applyProtection="1">
      <alignment horizontal="center" vertical="center" wrapText="1"/>
    </xf>
    <xf numFmtId="0" fontId="27" fillId="0" borderId="0" xfId="1" applyFont="1" applyAlignment="1">
      <alignment vertical="center"/>
    </xf>
    <xf numFmtId="0" fontId="24" fillId="6" borderId="1" xfId="1" applyFont="1" applyFill="1" applyBorder="1" applyAlignment="1" applyProtection="1">
      <alignment horizontal="center" vertical="center" wrapText="1"/>
    </xf>
    <xf numFmtId="0" fontId="24" fillId="6" borderId="1" xfId="1" applyFont="1" applyFill="1" applyBorder="1" applyAlignment="1" applyProtection="1">
      <alignment horizontal="center" vertical="center" wrapText="1"/>
    </xf>
    <xf numFmtId="0" fontId="2" fillId="3" borderId="1"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0" borderId="0" xfId="1" applyFont="1" applyAlignment="1">
      <alignment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2" fillId="0" borderId="0" xfId="1" applyFont="1" applyAlignment="1">
      <alignment horizontal="center" vertical="center"/>
    </xf>
    <xf numFmtId="0" fontId="3" fillId="0" borderId="0" xfId="1" applyFont="1" applyAlignment="1">
      <alignmen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horizontal="left" vertical="center"/>
    </xf>
    <xf numFmtId="0" fontId="2" fillId="0" borderId="0" xfId="1" applyNumberFormat="1" applyFont="1" applyBorder="1" applyAlignment="1">
      <alignment horizontal="left" vertical="center" wrapText="1"/>
    </xf>
    <xf numFmtId="0" fontId="3" fillId="0" borderId="0" xfId="1" applyFont="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vertical="center"/>
    </xf>
    <xf numFmtId="0" fontId="2" fillId="0" borderId="1" xfId="1" applyFont="1" applyBorder="1" applyAlignment="1">
      <alignment vertical="center" wrapText="1"/>
    </xf>
    <xf numFmtId="0" fontId="5" fillId="0" borderId="0" xfId="1" applyFont="1" applyBorder="1" applyAlignment="1">
      <alignment horizontal="center" vertical="center"/>
    </xf>
    <xf numFmtId="0" fontId="7" fillId="0" borderId="20" xfId="1" applyFont="1" applyBorder="1" applyAlignment="1">
      <alignment horizontal="center" vertical="center" wrapText="1" readingOrder="1"/>
    </xf>
    <xf numFmtId="0" fontId="7" fillId="0" borderId="21" xfId="1" applyFont="1" applyBorder="1" applyAlignment="1">
      <alignment horizontal="left" vertical="center" wrapText="1" readingOrder="1"/>
    </xf>
    <xf numFmtId="0" fontId="8" fillId="5" borderId="21" xfId="1" applyFont="1" applyFill="1" applyBorder="1" applyAlignment="1">
      <alignment horizontal="center" vertical="center" wrapText="1" readingOrder="1"/>
    </xf>
    <xf numFmtId="0" fontId="8" fillId="6" borderId="21" xfId="1" applyFont="1" applyFill="1" applyBorder="1" applyAlignment="1">
      <alignment horizontal="center" vertical="center" wrapText="1" readingOrder="1"/>
    </xf>
    <xf numFmtId="0" fontId="9" fillId="0" borderId="0" xfId="1" applyFont="1" applyAlignment="1">
      <alignment horizontal="left" vertical="center" readingOrder="1"/>
    </xf>
    <xf numFmtId="0" fontId="10" fillId="0" borderId="0" xfId="1" applyFont="1" applyAlignment="1">
      <alignment horizontal="left" vertical="center" readingOrder="1"/>
    </xf>
    <xf numFmtId="0" fontId="11" fillId="0" borderId="0" xfId="1" applyFont="1" applyAlignment="1">
      <alignment horizontal="left" vertical="center" readingOrder="1"/>
    </xf>
    <xf numFmtId="0" fontId="12" fillId="0" borderId="0" xfId="1" applyFont="1" applyAlignment="1">
      <alignment horizontal="left" vertical="center" readingOrder="1"/>
    </xf>
    <xf numFmtId="0" fontId="3" fillId="2" borderId="2"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0" xfId="1" applyFont="1" applyBorder="1" applyAlignment="1">
      <alignment vertical="center" wrapText="1"/>
    </xf>
    <xf numFmtId="0" fontId="2" fillId="0" borderId="0" xfId="1" applyFont="1" applyFill="1" applyAlignment="1">
      <alignment horizontal="center" vertical="center"/>
    </xf>
    <xf numFmtId="0" fontId="2" fillId="0" borderId="0" xfId="1" applyFont="1" applyBorder="1" applyAlignment="1">
      <alignment horizontal="left" vertical="center"/>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4" fillId="0" borderId="14" xfId="2" applyFont="1" applyBorder="1" applyAlignment="1" applyProtection="1">
      <alignment horizontal="left" vertical="center" wrapText="1"/>
      <protection locked="0"/>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2" fillId="2" borderId="1"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2" fillId="2" borderId="12"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4" fillId="0" borderId="23" xfId="2" applyFont="1" applyFill="1" applyBorder="1" applyAlignment="1" applyProtection="1">
      <alignment horizontal="left" vertical="center" wrapText="1"/>
      <protection locked="0"/>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1" fillId="0" borderId="23" xfId="2" applyFont="1" applyBorder="1" applyAlignment="1">
      <alignment vertical="center" wrapText="1"/>
    </xf>
    <xf numFmtId="0" fontId="1" fillId="3" borderId="1"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justify" vertical="center" wrapText="1"/>
      <protection locked="0"/>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0" borderId="1" xfId="1" applyFont="1" applyFill="1" applyBorder="1" applyAlignment="1" applyProtection="1">
      <alignment horizontal="left" vertical="center" wrapText="1"/>
      <protection locked="0"/>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1" fillId="3" borderId="1" xfId="1" applyFont="1" applyFill="1" applyBorder="1" applyAlignment="1" applyProtection="1">
      <alignment horizontal="center" vertical="center" wrapText="1"/>
      <protection locked="0"/>
    </xf>
    <xf numFmtId="0" fontId="1" fillId="3" borderId="1"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center" vertical="center" wrapText="1"/>
    </xf>
    <xf numFmtId="0" fontId="14" fillId="0" borderId="1" xfId="1" applyNumberFormat="1" applyFont="1" applyBorder="1" applyAlignment="1" applyProtection="1">
      <alignment horizontal="center" vertical="center" wrapText="1"/>
    </xf>
    <xf numFmtId="0" fontId="14" fillId="0" borderId="1" xfId="1" applyNumberFormat="1" applyFont="1" applyBorder="1" applyAlignment="1" applyProtection="1">
      <alignment horizontal="center" vertical="center" wrapText="1"/>
    </xf>
    <xf numFmtId="0" fontId="14" fillId="0" borderId="1" xfId="1" applyNumberFormat="1" applyFont="1" applyBorder="1" applyAlignment="1" applyProtection="1">
      <alignment horizontal="center"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14" fillId="0" borderId="1" xfId="1" applyFont="1" applyFill="1" applyBorder="1" applyAlignment="1" applyProtection="1">
      <alignment vertical="center" wrapText="1"/>
      <protection locked="0"/>
    </xf>
    <xf numFmtId="0" fontId="14" fillId="0" borderId="1"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vertical="center" wrapText="1"/>
    </xf>
    <xf numFmtId="0" fontId="14" fillId="0" borderId="1" xfId="1" applyNumberFormat="1" applyFont="1" applyBorder="1" applyAlignment="1" applyProtection="1">
      <alignment vertical="center" wrapText="1"/>
    </xf>
    <xf numFmtId="0" fontId="14" fillId="0" borderId="1" xfId="1" applyNumberFormat="1" applyFont="1" applyBorder="1" applyAlignment="1" applyProtection="1">
      <alignment vertical="center" wrapText="1"/>
    </xf>
    <xf numFmtId="0" fontId="14" fillId="0" borderId="1" xfId="1" applyNumberFormat="1" applyFont="1" applyBorder="1" applyAlignment="1" applyProtection="1">
      <alignmen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vertical="center" wrapText="1"/>
    </xf>
    <xf numFmtId="0" fontId="14" fillId="6" borderId="1" xfId="1" applyFont="1" applyFill="1" applyBorder="1" applyAlignment="1" applyProtection="1">
      <alignment vertical="center" wrapText="1"/>
    </xf>
    <xf numFmtId="0" fontId="14" fillId="0" borderId="1" xfId="1" applyFont="1" applyFill="1" applyBorder="1" applyAlignment="1" applyProtection="1">
      <alignment vertical="center" wrapText="1"/>
      <protection locked="0"/>
    </xf>
    <xf numFmtId="0" fontId="14" fillId="0" borderId="1" xfId="1" applyFont="1" applyBorder="1" applyAlignment="1" applyProtection="1">
      <alignment horizontal="center" vertical="center" wrapText="1"/>
      <protection locked="0"/>
    </xf>
    <xf numFmtId="0" fontId="14" fillId="0" borderId="1" xfId="1" applyFont="1" applyFill="1" applyBorder="1" applyAlignment="1" applyProtection="1">
      <alignment vertical="center" wrapText="1"/>
      <protection locked="0"/>
    </xf>
    <xf numFmtId="0" fontId="14" fillId="0" borderId="1" xfId="1" applyFont="1" applyFill="1" applyBorder="1" applyAlignment="1" applyProtection="1">
      <alignment vertical="center" wrapText="1"/>
      <protection locked="0"/>
    </xf>
    <xf numFmtId="0" fontId="14" fillId="0" borderId="1" xfId="1" applyFont="1" applyFill="1" applyBorder="1" applyAlignment="1" applyProtection="1">
      <alignment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4" fillId="0" borderId="14" xfId="2" applyFont="1" applyBorder="1" applyAlignment="1" applyProtection="1">
      <alignment horizontal="left" vertical="center" wrapText="1"/>
      <protection locked="0"/>
    </xf>
    <xf numFmtId="0" fontId="14" fillId="6"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14" fontId="2" fillId="0" borderId="1" xfId="1" applyNumberFormat="1" applyFont="1" applyBorder="1" applyAlignment="1">
      <alignment horizontal="center" vertical="center"/>
    </xf>
    <xf numFmtId="14" fontId="2" fillId="3" borderId="5" xfId="1" applyNumberFormat="1" applyFont="1" applyFill="1" applyBorder="1" applyAlignment="1">
      <alignment horizontal="center" vertical="center" wrapText="1"/>
    </xf>
    <xf numFmtId="0" fontId="1" fillId="3" borderId="1" xfId="1" applyFont="1" applyFill="1" applyBorder="1" applyAlignment="1" applyProtection="1">
      <alignment horizontal="center" vertical="center" wrapText="1"/>
      <protection locked="0"/>
    </xf>
    <xf numFmtId="0" fontId="28" fillId="0" borderId="1" xfId="1" applyNumberFormat="1" applyFont="1" applyBorder="1" applyAlignment="1" applyProtection="1">
      <alignment horizontal="center" vertical="center" wrapText="1"/>
    </xf>
    <xf numFmtId="0" fontId="5" fillId="0" borderId="1" xfId="1" applyFont="1" applyFill="1" applyBorder="1" applyAlignment="1" applyProtection="1">
      <alignment horizontal="justify" vertical="center" wrapText="1"/>
      <protection locked="0"/>
    </xf>
    <xf numFmtId="0" fontId="2" fillId="3" borderId="1" xfId="2" applyFont="1" applyFill="1" applyBorder="1" applyAlignment="1" applyProtection="1">
      <alignment horizontal="left" vertical="center" wrapText="1"/>
      <protection locked="0"/>
    </xf>
    <xf numFmtId="0" fontId="2" fillId="3" borderId="1" xfId="1" applyFont="1" applyFill="1" applyBorder="1" applyAlignment="1">
      <alignment horizontal="center" vertical="center" wrapText="1"/>
    </xf>
    <xf numFmtId="0" fontId="16" fillId="0" borderId="1" xfId="1" applyFont="1" applyFill="1" applyBorder="1" applyAlignment="1" applyProtection="1">
      <alignment vertical="center" wrapText="1"/>
      <protection locked="0"/>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14" fillId="0" borderId="1" xfId="1" applyFont="1" applyFill="1" applyBorder="1" applyAlignment="1" applyProtection="1">
      <alignment vertical="center" wrapText="1"/>
      <protection locked="0"/>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left" vertical="center" wrapText="1"/>
    </xf>
    <xf numFmtId="0" fontId="14" fillId="0" borderId="5"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left" vertical="center" wrapText="1"/>
      <protection locked="0"/>
    </xf>
    <xf numFmtId="0" fontId="2" fillId="3" borderId="1" xfId="1" applyFont="1" applyFill="1" applyBorder="1" applyAlignment="1" applyProtection="1">
      <alignment horizontal="left" vertical="center" wrapText="1"/>
      <protection locked="0"/>
    </xf>
    <xf numFmtId="0" fontId="5" fillId="0" borderId="14" xfId="2" applyFont="1" applyBorder="1" applyAlignment="1" applyProtection="1">
      <alignment horizontal="justify" vertical="center" wrapText="1"/>
      <protection locked="0"/>
    </xf>
    <xf numFmtId="0" fontId="28"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left" vertical="center" wrapText="1"/>
    </xf>
    <xf numFmtId="0" fontId="14" fillId="0" borderId="5"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left" vertical="center" wrapText="1"/>
      <protection locked="0"/>
    </xf>
    <xf numFmtId="0" fontId="2" fillId="3" borderId="1" xfId="1" applyFont="1" applyFill="1" applyBorder="1" applyAlignment="1" applyProtection="1">
      <alignment horizontal="left" vertical="center" wrapText="1"/>
      <protection locked="0"/>
    </xf>
    <xf numFmtId="0" fontId="2" fillId="3" borderId="1" xfId="1" applyFont="1" applyFill="1" applyBorder="1" applyAlignment="1" applyProtection="1">
      <alignment vertical="center" wrapText="1"/>
      <protection locked="0"/>
    </xf>
    <xf numFmtId="0" fontId="2" fillId="3" borderId="1" xfId="1" applyFont="1" applyFill="1" applyBorder="1" applyAlignment="1" applyProtection="1">
      <alignment horizontal="justify" vertical="center" wrapText="1"/>
      <protection locked="0"/>
    </xf>
    <xf numFmtId="0" fontId="28" fillId="0" borderId="1" xfId="1" applyNumberFormat="1" applyFont="1" applyBorder="1" applyAlignment="1" applyProtection="1">
      <alignment horizontal="left" vertical="center" wrapText="1"/>
    </xf>
    <xf numFmtId="0" fontId="29" fillId="0" borderId="14" xfId="0" applyFont="1" applyBorder="1" applyAlignment="1">
      <alignment vertical="center" wrapText="1"/>
    </xf>
    <xf numFmtId="164" fontId="29" fillId="0" borderId="5" xfId="1" applyNumberFormat="1" applyFont="1" applyFill="1" applyBorder="1" applyAlignment="1" applyProtection="1">
      <alignment horizontal="center" vertical="center" wrapText="1"/>
      <protection locked="0"/>
    </xf>
    <xf numFmtId="0" fontId="29" fillId="0" borderId="5" xfId="1" applyFont="1" applyFill="1" applyBorder="1" applyAlignment="1" applyProtection="1">
      <alignment horizontal="center" vertical="center" wrapText="1"/>
      <protection locked="0"/>
    </xf>
    <xf numFmtId="0" fontId="29" fillId="0" borderId="5" xfId="1" applyFont="1" applyFill="1" applyBorder="1" applyAlignment="1" applyProtection="1">
      <alignment horizontal="justify" vertical="center" wrapText="1"/>
      <protection locked="0"/>
    </xf>
    <xf numFmtId="0" fontId="29" fillId="6" borderId="1" xfId="1" applyFont="1" applyFill="1" applyBorder="1" applyAlignment="1" applyProtection="1">
      <alignment horizontal="center" vertical="center" wrapText="1"/>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0" borderId="1" xfId="1" applyFont="1" applyFill="1" applyBorder="1" applyAlignment="1" applyProtection="1">
      <alignment horizontal="left" vertical="center" wrapText="1"/>
      <protection locked="0"/>
    </xf>
    <xf numFmtId="0" fontId="29" fillId="0" borderId="1" xfId="1" applyFont="1" applyBorder="1" applyAlignment="1" applyProtection="1">
      <alignment horizontal="center" vertical="center" wrapText="1"/>
      <protection locked="0"/>
    </xf>
    <xf numFmtId="0" fontId="29" fillId="0" borderId="1" xfId="1" applyFont="1" applyFill="1" applyBorder="1" applyAlignment="1" applyProtection="1">
      <alignment horizontal="center" vertical="center" wrapText="1"/>
      <protection locked="0"/>
    </xf>
    <xf numFmtId="0" fontId="29" fillId="0" borderId="1" xfId="1" applyFont="1" applyFill="1" applyBorder="1" applyAlignment="1" applyProtection="1">
      <alignment vertical="center"/>
      <protection locked="0"/>
    </xf>
    <xf numFmtId="0" fontId="29" fillId="0" borderId="0" xfId="1" applyNumberFormat="1" applyFont="1" applyBorder="1" applyAlignment="1" applyProtection="1">
      <alignment horizontal="center" vertical="center" wrapText="1"/>
    </xf>
    <xf numFmtId="0" fontId="29" fillId="3" borderId="0" xfId="1" applyFont="1" applyFill="1" applyBorder="1" applyAlignment="1" applyProtection="1">
      <alignment horizontal="center" vertical="center" wrapText="1"/>
    </xf>
    <xf numFmtId="0" fontId="29" fillId="0" borderId="0" xfId="1" applyFont="1" applyFill="1" applyBorder="1" applyAlignment="1" applyProtection="1">
      <alignment horizontal="center" vertical="center" wrapText="1"/>
    </xf>
    <xf numFmtId="0" fontId="29" fillId="0" borderId="0" xfId="1" applyFont="1" applyFill="1" applyBorder="1" applyAlignment="1" applyProtection="1">
      <alignment horizontal="left" vertical="center" wrapText="1"/>
      <protection locked="0"/>
    </xf>
    <xf numFmtId="0" fontId="30" fillId="0" borderId="0" xfId="0" applyFont="1" applyFill="1" applyBorder="1" applyAlignment="1" applyProtection="1">
      <alignment horizontal="center" vertical="center" wrapText="1"/>
      <protection locked="0"/>
    </xf>
    <xf numFmtId="0" fontId="29" fillId="0" borderId="0" xfId="1" applyFont="1" applyBorder="1" applyAlignment="1" applyProtection="1">
      <alignment horizontal="center" vertical="center" wrapText="1"/>
      <protection locked="0"/>
    </xf>
    <xf numFmtId="0" fontId="29" fillId="0" borderId="0" xfId="1" applyFont="1" applyFill="1" applyBorder="1" applyAlignment="1" applyProtection="1">
      <alignment horizontal="center" vertical="center" wrapText="1"/>
      <protection locked="0"/>
    </xf>
    <xf numFmtId="164" fontId="29" fillId="0" borderId="0" xfId="1" applyNumberFormat="1" applyFont="1" applyFill="1" applyBorder="1" applyAlignment="1" applyProtection="1">
      <alignment horizontal="center" vertical="center" wrapText="1"/>
      <protection locked="0"/>
    </xf>
    <xf numFmtId="0" fontId="29" fillId="0" borderId="0" xfId="1" applyFont="1" applyFill="1" applyBorder="1" applyAlignment="1" applyProtection="1">
      <alignment horizontal="justify" vertical="center" wrapText="1"/>
      <protection locked="0"/>
    </xf>
    <xf numFmtId="0" fontId="29" fillId="0" borderId="0" xfId="1" applyFont="1" applyFill="1" applyBorder="1" applyAlignment="1" applyProtection="1">
      <alignment vertical="center"/>
      <protection locked="0"/>
    </xf>
    <xf numFmtId="0" fontId="14" fillId="0" borderId="0" xfId="1" applyFont="1" applyFill="1" applyBorder="1" applyAlignment="1" applyProtection="1">
      <alignment horizontal="center" vertical="center" wrapText="1"/>
    </xf>
    <xf numFmtId="0" fontId="29" fillId="0" borderId="5" xfId="1" applyFont="1" applyFill="1" applyBorder="1" applyAlignment="1" applyProtection="1">
      <alignment horizontal="left" vertical="center" wrapText="1"/>
      <protection locked="0"/>
    </xf>
    <xf numFmtId="0" fontId="29" fillId="0" borderId="5" xfId="1" applyFont="1" applyFill="1" applyBorder="1" applyAlignment="1" applyProtection="1">
      <alignment horizontal="left" vertical="top" wrapText="1"/>
      <protection locked="0"/>
    </xf>
    <xf numFmtId="0" fontId="2" fillId="0" borderId="1" xfId="1" applyFont="1" applyBorder="1" applyAlignment="1">
      <alignment horizontal="center" vertical="center"/>
    </xf>
    <xf numFmtId="0" fontId="2" fillId="2" borderId="1" xfId="1" applyFont="1" applyFill="1" applyBorder="1" applyAlignment="1">
      <alignment horizontal="center" vertical="center" wrapText="1"/>
    </xf>
    <xf numFmtId="0" fontId="2" fillId="0" borderId="1" xfId="1" applyFont="1" applyBorder="1" applyAlignment="1">
      <alignment horizontal="center" vertical="center"/>
    </xf>
    <xf numFmtId="0" fontId="14" fillId="3" borderId="1" xfId="1" applyNumberFormat="1" applyFont="1" applyFill="1" applyBorder="1" applyAlignment="1" applyProtection="1">
      <alignment horizontal="left" vertical="center" wrapText="1"/>
    </xf>
    <xf numFmtId="0" fontId="14" fillId="3" borderId="1" xfId="1" applyNumberFormat="1" applyFont="1" applyFill="1" applyBorder="1" applyAlignment="1" applyProtection="1">
      <alignment horizontal="center" vertical="center" wrapText="1"/>
    </xf>
    <xf numFmtId="0" fontId="14" fillId="3" borderId="1" xfId="1" applyNumberFormat="1" applyFont="1" applyFill="1" applyBorder="1" applyAlignment="1" applyProtection="1">
      <alignment horizontal="center" vertical="top" wrapText="1"/>
    </xf>
    <xf numFmtId="0" fontId="14" fillId="10" borderId="1" xfId="1" applyFont="1" applyFill="1" applyBorder="1" applyAlignment="1" applyProtection="1">
      <alignment horizontal="center" vertical="center" wrapText="1"/>
    </xf>
    <xf numFmtId="0" fontId="17" fillId="3" borderId="14" xfId="1" applyFont="1" applyFill="1" applyBorder="1" applyAlignment="1" applyProtection="1">
      <alignment horizontal="left" vertical="center" wrapText="1"/>
      <protection locked="0"/>
    </xf>
    <xf numFmtId="164" fontId="14" fillId="3" borderId="5" xfId="1" applyNumberFormat="1" applyFont="1" applyFill="1" applyBorder="1" applyAlignment="1" applyProtection="1">
      <alignment horizontal="center" vertical="center" wrapText="1"/>
      <protection locked="0"/>
    </xf>
    <xf numFmtId="0" fontId="14" fillId="3" borderId="5" xfId="1" applyFont="1" applyFill="1" applyBorder="1" applyAlignment="1" applyProtection="1">
      <alignment horizontal="left" vertical="center" wrapText="1"/>
      <protection locked="0"/>
    </xf>
    <xf numFmtId="0" fontId="14" fillId="3" borderId="5" xfId="1" applyFont="1" applyFill="1" applyBorder="1" applyAlignment="1" applyProtection="1">
      <alignment horizontal="center" vertical="center" wrapText="1"/>
      <protection locked="0"/>
    </xf>
    <xf numFmtId="0" fontId="14" fillId="3" borderId="1" xfId="1" applyFont="1" applyFill="1" applyBorder="1" applyAlignment="1" applyProtection="1">
      <alignment vertical="center" wrapText="1"/>
      <protection locked="0"/>
    </xf>
    <xf numFmtId="0" fontId="16" fillId="0" borderId="0" xfId="1" applyFont="1" applyAlignment="1" applyProtection="1">
      <alignment vertical="center"/>
    </xf>
    <xf numFmtId="0" fontId="14" fillId="0" borderId="1" xfId="1" applyFont="1" applyBorder="1" applyAlignment="1" applyProtection="1">
      <alignment horizontal="center"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7" fillId="0" borderId="14" xfId="2" applyFont="1" applyBorder="1" applyAlignment="1" applyProtection="1">
      <alignment horizontal="justify" vertical="center" wrapText="1"/>
      <protection locked="0"/>
    </xf>
    <xf numFmtId="0" fontId="14" fillId="0" borderId="1" xfId="1" applyFont="1" applyFill="1" applyBorder="1" applyAlignment="1" applyProtection="1">
      <alignment horizontal="center" vertical="center" wrapText="1"/>
      <protection locked="0"/>
    </xf>
    <xf numFmtId="0" fontId="17" fillId="0" borderId="1" xfId="1" applyFont="1" applyFill="1" applyBorder="1" applyAlignment="1">
      <alignment vertical="center" wrapText="1"/>
    </xf>
    <xf numFmtId="0" fontId="14" fillId="0" borderId="1" xfId="1" applyFont="1" applyFill="1" applyBorder="1" applyAlignment="1" applyProtection="1">
      <alignment horizontal="center" vertical="center" wrapText="1"/>
      <protection locked="0"/>
    </xf>
    <xf numFmtId="164" fontId="14" fillId="0" borderId="5" xfId="1" applyNumberFormat="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Font="1" applyFill="1" applyBorder="1" applyAlignment="1" applyProtection="1">
      <alignment vertical="center" wrapText="1"/>
      <protection locked="0"/>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3" borderId="1" xfId="1" applyFont="1" applyFill="1" applyBorder="1" applyAlignment="1" applyProtection="1">
      <alignment horizontal="justify" vertical="center" wrapText="1"/>
      <protection locked="0"/>
    </xf>
    <xf numFmtId="0" fontId="14" fillId="6"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164" fontId="14" fillId="0" borderId="5" xfId="1" applyNumberFormat="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23" fillId="6" borderId="1" xfId="1" applyFont="1" applyFill="1" applyBorder="1" applyAlignment="1" applyProtection="1">
      <alignment horizontal="center" vertical="center" wrapText="1"/>
    </xf>
    <xf numFmtId="0" fontId="2" fillId="0" borderId="1" xfId="1" applyFont="1" applyFill="1" applyBorder="1" applyAlignment="1">
      <alignment horizontal="center" vertical="center"/>
    </xf>
    <xf numFmtId="0" fontId="14" fillId="3" borderId="1" xfId="1" applyFont="1" applyFill="1" applyBorder="1" applyAlignment="1" applyProtection="1">
      <alignment horizontal="justify" vertical="center" wrapText="1"/>
      <protection locked="0"/>
    </xf>
    <xf numFmtId="0" fontId="33" fillId="0" borderId="1" xfId="1" applyFont="1" applyBorder="1" applyAlignment="1" applyProtection="1">
      <alignment horizontal="center" vertical="center" wrapText="1"/>
      <protection locked="0"/>
    </xf>
    <xf numFmtId="0" fontId="14" fillId="6"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14" fillId="3" borderId="1" xfId="1" applyFont="1" applyFill="1" applyBorder="1" applyAlignment="1" applyProtection="1">
      <alignment vertical="center" wrapText="1"/>
      <protection locked="0"/>
    </xf>
    <xf numFmtId="0" fontId="14" fillId="3" borderId="1" xfId="1" applyFont="1" applyFill="1" applyBorder="1" applyAlignment="1" applyProtection="1">
      <alignment horizontal="center" vertical="center" wrapText="1"/>
      <protection locked="0"/>
    </xf>
    <xf numFmtId="164" fontId="14" fillId="0" borderId="5" xfId="1" applyNumberFormat="1" applyFont="1" applyFill="1" applyBorder="1" applyAlignment="1" applyProtection="1">
      <alignment horizontal="center" vertical="center" wrapText="1"/>
      <protection locked="0"/>
    </xf>
    <xf numFmtId="0" fontId="14" fillId="0" borderId="5" xfId="1" applyFont="1" applyFill="1" applyBorder="1" applyAlignment="1" applyProtection="1">
      <alignment horizontal="left"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justify" vertical="center" wrapText="1"/>
    </xf>
    <xf numFmtId="0" fontId="14" fillId="0" borderId="1" xfId="1" applyNumberFormat="1" applyFont="1" applyBorder="1" applyAlignment="1" applyProtection="1">
      <alignment horizontal="center" vertical="center" wrapText="1"/>
    </xf>
    <xf numFmtId="0" fontId="14" fillId="0" borderId="1" xfId="1" applyNumberFormat="1" applyFont="1" applyBorder="1" applyAlignment="1" applyProtection="1">
      <alignment horizontal="center" vertical="center" wrapText="1"/>
    </xf>
    <xf numFmtId="0" fontId="14" fillId="0" borderId="1" xfId="1" applyNumberFormat="1" applyFont="1" applyBorder="1" applyAlignment="1" applyProtection="1">
      <alignment horizontal="center"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3" borderId="1" xfId="1" applyFont="1" applyFill="1" applyBorder="1" applyAlignment="1" applyProtection="1">
      <alignment horizontal="justify" vertical="center" wrapText="1"/>
      <protection locked="0"/>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14" fillId="3" borderId="1" xfId="1"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protection locked="0"/>
    </xf>
    <xf numFmtId="164" fontId="14" fillId="0" borderId="5" xfId="1" applyNumberFormat="1" applyFont="1" applyFill="1" applyBorder="1" applyAlignment="1" applyProtection="1">
      <alignment horizontal="center" vertical="center" wrapText="1"/>
      <protection locked="0"/>
    </xf>
    <xf numFmtId="0" fontId="14" fillId="0" borderId="5" xfId="1" applyFont="1" applyFill="1" applyBorder="1" applyAlignment="1" applyProtection="1">
      <alignment horizontal="left" vertical="center" wrapText="1"/>
      <protection locked="0"/>
    </xf>
    <xf numFmtId="0" fontId="14" fillId="0" borderId="5" xfId="1" applyFont="1" applyFill="1" applyBorder="1" applyAlignment="1" applyProtection="1">
      <alignment horizontal="center" vertical="center" wrapText="1"/>
      <protection locked="0"/>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14" fillId="3" borderId="1" xfId="0" applyFont="1" applyFill="1" applyBorder="1" applyAlignment="1" applyProtection="1">
      <alignment horizontal="left" vertical="center" wrapText="1"/>
      <protection locked="0"/>
    </xf>
    <xf numFmtId="0" fontId="2" fillId="0" borderId="13" xfId="1" applyFont="1" applyBorder="1" applyAlignment="1">
      <alignment vertical="center"/>
    </xf>
    <xf numFmtId="0" fontId="2" fillId="0" borderId="13" xfId="1" applyFont="1" applyBorder="1" applyAlignment="1">
      <alignment vertical="center" wrapText="1"/>
    </xf>
    <xf numFmtId="0" fontId="14" fillId="3" borderId="1" xfId="1" applyFont="1" applyFill="1" applyBorder="1" applyAlignment="1" applyProtection="1">
      <alignment horizontal="center" vertical="center" wrapText="1"/>
    </xf>
    <xf numFmtId="0" fontId="14" fillId="10" borderId="1" xfId="1" applyFont="1" applyFill="1" applyBorder="1" applyAlignment="1" applyProtection="1">
      <alignment horizontal="center" vertical="center" wrapText="1"/>
    </xf>
    <xf numFmtId="0" fontId="14" fillId="3" borderId="1" xfId="1" applyNumberFormat="1" applyFont="1" applyFill="1" applyBorder="1" applyAlignment="1" applyProtection="1">
      <alignment horizontal="left" vertical="center" wrapText="1"/>
    </xf>
    <xf numFmtId="0" fontId="14" fillId="3" borderId="1" xfId="1" applyNumberFormat="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NumberFormat="1" applyFont="1" applyFill="1" applyBorder="1" applyAlignment="1" applyProtection="1">
      <alignment horizontal="justify" vertical="center" wrapText="1"/>
    </xf>
    <xf numFmtId="0" fontId="14" fillId="3" borderId="1" xfId="1" applyFont="1" applyFill="1" applyBorder="1" applyAlignment="1" applyProtection="1">
      <alignment horizontal="center" vertical="center" wrapText="1"/>
      <protection locked="0"/>
    </xf>
    <xf numFmtId="0" fontId="14" fillId="3" borderId="1" xfId="1" applyFont="1" applyFill="1" applyBorder="1" applyAlignment="1" applyProtection="1">
      <alignment horizontal="left" vertical="center" wrapText="1"/>
      <protection locked="0"/>
    </xf>
    <xf numFmtId="164" fontId="14" fillId="3" borderId="5" xfId="1" applyNumberFormat="1" applyFont="1" applyFill="1" applyBorder="1" applyAlignment="1" applyProtection="1">
      <alignment horizontal="center" vertical="center" wrapText="1"/>
      <protection locked="0"/>
    </xf>
    <xf numFmtId="0" fontId="14" fillId="3" borderId="5" xfId="1" applyFont="1" applyFill="1" applyBorder="1" applyAlignment="1" applyProtection="1">
      <alignment horizontal="left" vertical="center" wrapText="1"/>
      <protection locked="0"/>
    </xf>
    <xf numFmtId="0" fontId="14" fillId="3" borderId="5" xfId="1" applyFont="1" applyFill="1" applyBorder="1" applyAlignment="1" applyProtection="1">
      <alignment horizontal="center" vertical="center" wrapText="1"/>
      <protection locked="0"/>
    </xf>
    <xf numFmtId="0" fontId="14" fillId="3" borderId="1" xfId="1" applyFont="1" applyFill="1" applyBorder="1" applyAlignment="1" applyProtection="1">
      <alignment vertical="center" wrapText="1"/>
      <protection locked="0"/>
    </xf>
    <xf numFmtId="0" fontId="17" fillId="3" borderId="23" xfId="1" applyFont="1" applyFill="1" applyBorder="1" applyAlignment="1" applyProtection="1">
      <alignment horizontal="left" vertical="center" wrapText="1"/>
      <protection locked="0"/>
    </xf>
    <xf numFmtId="164" fontId="14" fillId="3" borderId="5" xfId="1" applyNumberFormat="1" applyFont="1" applyFill="1" applyBorder="1" applyAlignment="1" applyProtection="1">
      <alignment horizontal="left" vertical="center" wrapText="1"/>
      <protection locked="0"/>
    </xf>
    <xf numFmtId="0" fontId="14" fillId="3" borderId="1" xfId="1" applyFont="1" applyFill="1" applyBorder="1" applyAlignment="1" applyProtection="1">
      <alignment vertical="top" wrapText="1"/>
      <protection locked="0"/>
    </xf>
    <xf numFmtId="0" fontId="14" fillId="3" borderId="1" xfId="1" applyNumberFormat="1" applyFont="1" applyFill="1" applyBorder="1" applyAlignment="1" applyProtection="1">
      <alignment horizontal="left" vertical="top" wrapText="1"/>
    </xf>
    <xf numFmtId="0" fontId="14" fillId="0" borderId="1" xfId="1" applyFont="1" applyBorder="1" applyAlignment="1" applyProtection="1">
      <alignment horizontal="left" vertical="center" wrapText="1"/>
    </xf>
    <xf numFmtId="0" fontId="14" fillId="0" borderId="1" xfId="1" applyFont="1" applyBorder="1" applyAlignment="1" applyProtection="1">
      <alignment horizontal="center" vertical="center" wrapText="1"/>
    </xf>
    <xf numFmtId="0" fontId="16" fillId="0" borderId="1" xfId="1" applyFont="1" applyFill="1" applyBorder="1" applyAlignment="1" applyProtection="1">
      <alignment horizontal="center" vertical="center"/>
      <protection locked="0"/>
    </xf>
    <xf numFmtId="0" fontId="14" fillId="0" borderId="1" xfId="1" applyFont="1" applyBorder="1" applyAlignment="1" applyProtection="1">
      <alignment horizontal="center" vertical="center"/>
    </xf>
    <xf numFmtId="0" fontId="14" fillId="0" borderId="1" xfId="1" applyFont="1" applyFill="1" applyBorder="1" applyAlignment="1" applyProtection="1">
      <alignment horizontal="center" vertical="center"/>
    </xf>
    <xf numFmtId="0" fontId="14" fillId="11" borderId="1" xfId="1" applyFont="1" applyFill="1" applyBorder="1" applyAlignment="1" applyProtection="1">
      <alignment horizontal="center" vertical="center" wrapText="1"/>
    </xf>
    <xf numFmtId="0" fontId="14" fillId="0" borderId="1" xfId="1" applyFont="1" applyFill="1" applyBorder="1" applyAlignment="1" applyProtection="1">
      <alignment vertical="center" wrapText="1"/>
      <protection locked="0"/>
    </xf>
    <xf numFmtId="0" fontId="14" fillId="0" borderId="1" xfId="1"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protection locked="0"/>
    </xf>
    <xf numFmtId="0" fontId="14" fillId="0" borderId="1" xfId="1" applyFont="1" applyBorder="1" applyAlignment="1" applyProtection="1">
      <alignment vertical="center" wrapText="1"/>
      <protection locked="0"/>
    </xf>
    <xf numFmtId="0" fontId="14" fillId="3" borderId="13" xfId="0" applyFont="1" applyFill="1" applyBorder="1" applyAlignment="1" applyProtection="1">
      <alignment horizontal="left" vertical="center" wrapText="1"/>
      <protection locked="0"/>
    </xf>
    <xf numFmtId="0" fontId="14" fillId="3" borderId="13" xfId="1" applyFont="1" applyFill="1" applyBorder="1" applyAlignment="1" applyProtection="1">
      <alignment horizontal="center" vertical="center" wrapText="1"/>
      <protection locked="0"/>
    </xf>
    <xf numFmtId="164" fontId="14" fillId="3" borderId="2" xfId="1" applyNumberFormat="1" applyFont="1" applyFill="1" applyBorder="1" applyAlignment="1" applyProtection="1">
      <alignment horizontal="center" vertical="center" wrapText="1"/>
      <protection locked="0"/>
    </xf>
    <xf numFmtId="0" fontId="14" fillId="3" borderId="2" xfId="1" applyFont="1" applyFill="1" applyBorder="1" applyAlignment="1" applyProtection="1">
      <alignment horizontal="left" vertical="center" wrapText="1"/>
      <protection locked="0"/>
    </xf>
    <xf numFmtId="0" fontId="14" fillId="3" borderId="2" xfId="1" applyFont="1" applyFill="1" applyBorder="1" applyAlignment="1" applyProtection="1">
      <alignment horizontal="center" vertical="center" wrapText="1"/>
      <protection locked="0"/>
    </xf>
    <xf numFmtId="0" fontId="14" fillId="3" borderId="13" xfId="1" applyFont="1" applyFill="1" applyBorder="1" applyAlignment="1" applyProtection="1">
      <alignment vertical="top" wrapText="1"/>
      <protection locked="0"/>
    </xf>
    <xf numFmtId="0" fontId="2" fillId="0" borderId="13" xfId="1" applyFont="1" applyBorder="1" applyAlignment="1">
      <alignment horizontal="center" vertical="center"/>
    </xf>
    <xf numFmtId="0" fontId="2" fillId="0" borderId="13" xfId="1" applyFont="1" applyFill="1" applyBorder="1" applyAlignment="1">
      <alignment horizontal="center" vertical="center"/>
    </xf>
    <xf numFmtId="0" fontId="7" fillId="4" borderId="1" xfId="1" applyFont="1" applyFill="1" applyBorder="1" applyAlignment="1">
      <alignment horizontal="center" vertical="center" wrapText="1" readingOrder="1"/>
    </xf>
    <xf numFmtId="0" fontId="17" fillId="3" borderId="6"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2" fillId="3" borderId="1" xfId="1" applyFont="1" applyFill="1" applyBorder="1" applyAlignment="1" applyProtection="1">
      <alignment horizontal="left" vertical="center" wrapText="1"/>
      <protection locked="0"/>
    </xf>
    <xf numFmtId="0" fontId="2" fillId="2" borderId="1"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2" fillId="2" borderId="12"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1" xfId="1" applyFont="1" applyBorder="1" applyAlignment="1">
      <alignment horizontal="center" vertical="center"/>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0" fontId="29" fillId="0" borderId="1" xfId="2" applyFont="1" applyBorder="1" applyAlignment="1" applyProtection="1">
      <alignment horizontal="justify" vertical="center" wrapText="1"/>
      <protection locked="0"/>
    </xf>
    <xf numFmtId="0" fontId="29" fillId="6" borderId="1" xfId="1" applyFont="1" applyFill="1" applyBorder="1" applyAlignment="1" applyProtection="1">
      <alignment horizontal="center" vertical="center" wrapText="1"/>
    </xf>
    <xf numFmtId="0" fontId="29" fillId="3" borderId="1" xfId="2" applyFont="1" applyFill="1" applyBorder="1" applyAlignment="1" applyProtection="1">
      <alignment horizontal="center" vertical="center" wrapText="1"/>
      <protection locked="0"/>
    </xf>
    <xf numFmtId="0" fontId="29" fillId="3" borderId="1" xfId="1" applyFont="1" applyFill="1" applyBorder="1" applyAlignment="1" applyProtection="1">
      <alignment horizontal="center" vertical="center" wrapText="1"/>
      <protection locked="0"/>
    </xf>
    <xf numFmtId="0" fontId="29" fillId="3" borderId="1" xfId="1" applyFont="1" applyFill="1" applyBorder="1" applyAlignment="1" applyProtection="1">
      <alignment horizontal="center" vertical="center" wrapText="1"/>
      <protection locked="0"/>
    </xf>
    <xf numFmtId="0" fontId="29" fillId="3" borderId="5" xfId="1" applyFont="1" applyFill="1" applyBorder="1" applyAlignment="1" applyProtection="1">
      <alignment horizontal="center" vertical="center" wrapText="1"/>
      <protection locked="0"/>
    </xf>
    <xf numFmtId="164" fontId="29" fillId="0" borderId="5" xfId="1" applyNumberFormat="1" applyFont="1" applyFill="1" applyBorder="1" applyAlignment="1" applyProtection="1">
      <alignment horizontal="center" vertical="center" wrapText="1"/>
      <protection locked="0"/>
    </xf>
    <xf numFmtId="0" fontId="29" fillId="12" borderId="1" xfId="2" applyFont="1" applyFill="1" applyBorder="1" applyAlignment="1" applyProtection="1">
      <alignment horizontal="justify" vertical="center" wrapText="1"/>
      <protection locked="0"/>
    </xf>
    <xf numFmtId="0" fontId="29" fillId="12" borderId="5" xfId="1" applyFont="1" applyFill="1" applyBorder="1" applyAlignment="1" applyProtection="1">
      <alignment horizontal="center" vertical="center" wrapText="1"/>
      <protection locked="0"/>
    </xf>
    <xf numFmtId="0" fontId="29" fillId="12" borderId="1" xfId="2" applyFont="1" applyFill="1" applyBorder="1" applyAlignment="1" applyProtection="1">
      <alignment horizontal="justify" vertical="center" wrapText="1"/>
      <protection locked="0"/>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0" fontId="29" fillId="0" borderId="1" xfId="2" applyFont="1" applyBorder="1" applyAlignment="1" applyProtection="1">
      <alignment horizontal="justify" vertical="center" wrapText="1"/>
      <protection locked="0"/>
    </xf>
    <xf numFmtId="0" fontId="29" fillId="6" borderId="1" xfId="1" applyFont="1" applyFill="1" applyBorder="1" applyAlignment="1" applyProtection="1">
      <alignment horizontal="center" vertical="center" wrapText="1"/>
    </xf>
    <xf numFmtId="0" fontId="29" fillId="3" borderId="1" xfId="2" applyFont="1" applyFill="1" applyBorder="1" applyAlignment="1" applyProtection="1">
      <alignment horizontal="center" vertical="center" wrapText="1"/>
      <protection locked="0"/>
    </xf>
    <xf numFmtId="0" fontId="29" fillId="3" borderId="1" xfId="1" applyFont="1" applyFill="1" applyBorder="1" applyAlignment="1" applyProtection="1">
      <alignment horizontal="center" vertical="center" wrapText="1"/>
      <protection locked="0"/>
    </xf>
    <xf numFmtId="0" fontId="29" fillId="3" borderId="1" xfId="1" applyFont="1" applyFill="1" applyBorder="1" applyAlignment="1" applyProtection="1">
      <alignment horizontal="center" vertical="center" wrapText="1"/>
      <protection locked="0"/>
    </xf>
    <xf numFmtId="0" fontId="29" fillId="3" borderId="5" xfId="1" applyFont="1" applyFill="1" applyBorder="1" applyAlignment="1" applyProtection="1">
      <alignment horizontal="center" vertical="center" wrapText="1"/>
      <protection locked="0"/>
    </xf>
    <xf numFmtId="164" fontId="29" fillId="0" borderId="5" xfId="1" applyNumberFormat="1" applyFont="1" applyFill="1" applyBorder="1" applyAlignment="1" applyProtection="1">
      <alignment horizontal="center" vertical="center" wrapText="1"/>
      <protection locked="0"/>
    </xf>
    <xf numFmtId="0" fontId="29" fillId="12" borderId="1" xfId="2" applyFont="1" applyFill="1" applyBorder="1" applyAlignment="1" applyProtection="1">
      <alignment horizontal="justify" vertical="center" wrapText="1"/>
      <protection locked="0"/>
    </xf>
    <xf numFmtId="0" fontId="29" fillId="12" borderId="5" xfId="1" applyFont="1" applyFill="1" applyBorder="1" applyAlignment="1" applyProtection="1">
      <alignment horizontal="center" vertical="center" wrapText="1"/>
      <protection locked="0"/>
    </xf>
    <xf numFmtId="0" fontId="2" fillId="12" borderId="1" xfId="1" applyFont="1" applyFill="1" applyBorder="1" applyAlignment="1">
      <alignment horizontal="center" vertical="center" wrapText="1"/>
    </xf>
    <xf numFmtId="0" fontId="18" fillId="3" borderId="1" xfId="1" applyFont="1" applyFill="1" applyBorder="1" applyAlignment="1">
      <alignment horizontal="left" vertical="top"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 fillId="0" borderId="28" xfId="2" applyFont="1" applyFill="1" applyBorder="1" applyAlignment="1" applyProtection="1">
      <alignment horizontal="left" vertical="center" wrapText="1"/>
      <protection locked="0"/>
    </xf>
    <xf numFmtId="0" fontId="16" fillId="0" borderId="5" xfId="1" applyFont="1" applyFill="1" applyBorder="1" applyAlignment="1" applyProtection="1">
      <alignment horizontal="center" vertical="center" wrapText="1"/>
      <protection locked="0"/>
    </xf>
    <xf numFmtId="0" fontId="14" fillId="6" borderId="1" xfId="1" applyFont="1" applyFill="1" applyBorder="1" applyAlignment="1" applyProtection="1">
      <alignment horizontal="center" vertical="center" wrapText="1"/>
    </xf>
    <xf numFmtId="0" fontId="7" fillId="0" borderId="30" xfId="1" applyFont="1" applyBorder="1" applyAlignment="1">
      <alignment horizontal="center" vertical="center" wrapText="1"/>
    </xf>
    <xf numFmtId="0" fontId="8" fillId="5" borderId="29" xfId="1" applyFont="1" applyFill="1" applyBorder="1" applyAlignment="1">
      <alignment horizontal="center" vertical="center" wrapText="1" readingOrder="1"/>
    </xf>
    <xf numFmtId="0" fontId="8" fillId="6" borderId="29" xfId="1" applyFont="1" applyFill="1" applyBorder="1" applyAlignment="1">
      <alignment horizontal="center" vertical="center" wrapText="1" readingOrder="1"/>
    </xf>
    <xf numFmtId="0" fontId="8" fillId="7" borderId="29" xfId="1" applyFont="1" applyFill="1" applyBorder="1" applyAlignment="1">
      <alignment horizontal="center" vertical="center" wrapText="1" readingOrder="1"/>
    </xf>
    <xf numFmtId="0" fontId="17" fillId="0" borderId="6" xfId="1" applyFont="1" applyBorder="1" applyAlignment="1" applyProtection="1">
      <alignment horizontal="center" vertical="center" wrapText="1"/>
      <protection locked="0"/>
    </xf>
    <xf numFmtId="0" fontId="17" fillId="0" borderId="1" xfId="2" applyFont="1" applyFill="1" applyBorder="1" applyAlignment="1" applyProtection="1">
      <alignment vertical="center" wrapText="1"/>
      <protection locked="0"/>
    </xf>
    <xf numFmtId="0" fontId="2" fillId="0" borderId="0" xfId="1" applyFont="1" applyBorder="1" applyAlignment="1">
      <alignment horizontal="center" vertical="center"/>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2" fillId="6" borderId="1" xfId="2" applyFont="1" applyFill="1" applyBorder="1" applyAlignment="1" applyProtection="1">
      <alignment vertical="center" wrapText="1"/>
      <protection locked="0"/>
    </xf>
    <xf numFmtId="0" fontId="18" fillId="3" borderId="1" xfId="1" applyFont="1" applyFill="1" applyBorder="1" applyAlignment="1">
      <alignment horizontal="left" vertical="center" wrapText="1"/>
    </xf>
    <xf numFmtId="0" fontId="14" fillId="0" borderId="1" xfId="1" applyFont="1" applyFill="1" applyBorder="1" applyAlignment="1" applyProtection="1">
      <alignment horizontal="center" vertical="center" wrapText="1"/>
      <protection locked="0"/>
    </xf>
    <xf numFmtId="0" fontId="18" fillId="3" borderId="1" xfId="1"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0" borderId="1" xfId="2" applyFont="1" applyFill="1" applyBorder="1" applyAlignment="1">
      <alignment horizontal="justify" vertical="center" wrapText="1"/>
    </xf>
    <xf numFmtId="0" fontId="14" fillId="6" borderId="1" xfId="1" applyFont="1" applyFill="1" applyBorder="1" applyAlignment="1" applyProtection="1">
      <alignment horizontal="center" vertical="center" wrapText="1"/>
    </xf>
    <xf numFmtId="0" fontId="14" fillId="3" borderId="1" xfId="2"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left" vertical="center" wrapText="1"/>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0" borderId="1" xfId="2" applyFont="1" applyBorder="1" applyAlignment="1">
      <alignment vertical="center" wrapText="1"/>
    </xf>
    <xf numFmtId="0" fontId="14" fillId="6" borderId="1" xfId="1" applyFont="1" applyFill="1" applyBorder="1" applyAlignment="1" applyProtection="1">
      <alignment horizontal="center" vertical="center" wrapText="1"/>
    </xf>
    <xf numFmtId="0" fontId="14" fillId="3" borderId="1" xfId="2"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left" vertical="center" wrapText="1"/>
    </xf>
    <xf numFmtId="164" fontId="14" fillId="0" borderId="5" xfId="1" applyNumberFormat="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1" xfId="1" applyNumberFormat="1" applyFont="1" applyBorder="1" applyAlignment="1" applyProtection="1">
      <alignment horizontal="justify" vertical="center" wrapText="1"/>
    </xf>
    <xf numFmtId="0" fontId="14" fillId="3" borderId="1" xfId="1" applyFont="1" applyFill="1" applyBorder="1" applyAlignment="1" applyProtection="1">
      <alignment horizontal="center" vertical="center" wrapText="1"/>
      <protection locked="0"/>
    </xf>
    <xf numFmtId="0" fontId="14" fillId="3" borderId="1" xfId="1" applyFont="1" applyFill="1" applyBorder="1" applyAlignment="1">
      <alignment horizontal="left" vertical="center" wrapText="1"/>
    </xf>
    <xf numFmtId="0" fontId="14" fillId="3" borderId="1" xfId="1" applyFont="1" applyFill="1" applyBorder="1" applyAlignment="1">
      <alignment horizontal="center" vertical="center" wrapText="1"/>
    </xf>
    <xf numFmtId="0" fontId="17" fillId="0" borderId="1" xfId="1" applyFont="1" applyFill="1" applyBorder="1" applyAlignment="1" applyProtection="1">
      <alignment horizontal="justify" vertical="center" wrapText="1"/>
      <protection locked="0"/>
    </xf>
    <xf numFmtId="0" fontId="14" fillId="3" borderId="5" xfId="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0" applyFont="1" applyBorder="1" applyAlignment="1" applyProtection="1">
      <alignment vertical="center" wrapText="1"/>
      <protection locked="0"/>
    </xf>
    <xf numFmtId="0" fontId="24" fillId="3" borderId="1" xfId="1" applyFont="1" applyFill="1" applyBorder="1" applyAlignment="1" applyProtection="1">
      <alignment horizontal="center" vertical="center" wrapText="1"/>
    </xf>
    <xf numFmtId="0" fontId="24" fillId="3" borderId="1" xfId="1" applyFont="1" applyFill="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4" fillId="6" borderId="1" xfId="1" applyFont="1" applyFill="1" applyBorder="1" applyAlignment="1" applyProtection="1">
      <alignment horizontal="center" vertical="center" wrapText="1"/>
    </xf>
    <xf numFmtId="0" fontId="24" fillId="6" borderId="1" xfId="1" applyFont="1" applyFill="1" applyBorder="1" applyAlignment="1" applyProtection="1">
      <alignment horizontal="center" vertical="center" wrapText="1"/>
    </xf>
    <xf numFmtId="164" fontId="24" fillId="0" borderId="5" xfId="1" applyNumberFormat="1" applyFont="1" applyFill="1" applyBorder="1" applyAlignment="1" applyProtection="1">
      <alignment horizontal="center" vertical="center" wrapText="1"/>
      <protection locked="0"/>
    </xf>
    <xf numFmtId="0" fontId="24" fillId="0" borderId="5" xfId="1" applyFont="1" applyFill="1" applyBorder="1" applyAlignment="1" applyProtection="1">
      <alignment horizontal="left" vertical="center" wrapText="1"/>
      <protection locked="0"/>
    </xf>
    <xf numFmtId="0" fontId="24" fillId="3" borderId="1" xfId="1" applyFont="1" applyFill="1" applyBorder="1" applyAlignment="1" applyProtection="1">
      <alignment horizontal="center" vertical="center" wrapText="1"/>
    </xf>
    <xf numFmtId="0" fontId="24" fillId="3" borderId="1" xfId="1" applyFont="1" applyFill="1" applyBorder="1" applyAlignment="1" applyProtection="1">
      <alignment horizontal="center" vertical="center" wrapText="1"/>
    </xf>
    <xf numFmtId="0" fontId="24" fillId="0" borderId="5" xfId="1" applyFont="1" applyFill="1" applyBorder="1" applyAlignment="1" applyProtection="1">
      <alignment horizontal="center" vertical="center" wrapText="1"/>
      <protection locked="0"/>
    </xf>
    <xf numFmtId="164" fontId="24" fillId="0" borderId="5" xfId="1" applyNumberFormat="1" applyFont="1" applyFill="1" applyBorder="1" applyAlignment="1" applyProtection="1">
      <alignment horizontal="center" vertical="center" wrapText="1"/>
      <protection locked="0"/>
    </xf>
    <xf numFmtId="0" fontId="29" fillId="0" borderId="5" xfId="1" applyFont="1" applyFill="1" applyBorder="1" applyAlignment="1" applyProtection="1">
      <alignment horizontal="left" vertical="center" wrapText="1"/>
      <protection locked="0"/>
    </xf>
    <xf numFmtId="0" fontId="29" fillId="0" borderId="2" xfId="1" applyFont="1" applyFill="1" applyBorder="1" applyAlignment="1" applyProtection="1">
      <alignment horizontal="left" vertical="center" wrapText="1"/>
      <protection locked="0"/>
    </xf>
    <xf numFmtId="0" fontId="29" fillId="3" borderId="5" xfId="1" applyFont="1" applyFill="1" applyBorder="1" applyAlignment="1">
      <alignment horizontal="left" vertical="top" wrapText="1"/>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29" fillId="3" borderId="1" xfId="1" applyFont="1" applyFill="1" applyBorder="1" applyAlignment="1" applyProtection="1">
      <alignment horizontal="left" vertical="center" wrapText="1"/>
      <protection locked="0"/>
    </xf>
    <xf numFmtId="0" fontId="2" fillId="2" borderId="1"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2" fillId="2" borderId="12"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5" fillId="0" borderId="14" xfId="0" applyFont="1" applyBorder="1" applyAlignment="1" applyProtection="1">
      <alignment horizontal="justify" vertical="center" wrapText="1"/>
      <protection locked="0"/>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30" fillId="0" borderId="14" xfId="4" applyFont="1" applyBorder="1" applyAlignment="1" applyProtection="1">
      <alignment horizontal="justify" vertical="center" wrapText="1"/>
      <protection locked="0"/>
    </xf>
    <xf numFmtId="0" fontId="2" fillId="2" borderId="10"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30" fillId="0" borderId="16" xfId="4" applyFont="1" applyBorder="1" applyAlignment="1" applyProtection="1">
      <alignment horizontal="justify" vertical="center" wrapText="1"/>
      <protection locked="0"/>
    </xf>
    <xf numFmtId="0" fontId="29" fillId="6" borderId="1" xfId="1" applyFont="1" applyFill="1" applyBorder="1" applyAlignment="1" applyProtection="1">
      <alignment horizontal="center" vertical="center" wrapText="1"/>
    </xf>
    <xf numFmtId="0" fontId="29" fillId="0" borderId="1" xfId="1" applyFont="1" applyBorder="1" applyAlignment="1" applyProtection="1">
      <alignment horizontal="center" vertical="center" wrapText="1"/>
      <protection locked="0"/>
    </xf>
    <xf numFmtId="0" fontId="29" fillId="0" borderId="1" xfId="1" applyFont="1" applyFill="1" applyBorder="1" applyAlignment="1" applyProtection="1">
      <alignment horizontal="center" vertical="center" wrapText="1"/>
      <protection locked="0"/>
    </xf>
    <xf numFmtId="0" fontId="29" fillId="0" borderId="1" xfId="1" applyFont="1" applyFill="1" applyBorder="1" applyAlignment="1" applyProtection="1">
      <alignment horizontal="center" vertical="center" wrapText="1"/>
      <protection locked="0"/>
    </xf>
    <xf numFmtId="164" fontId="29" fillId="0" borderId="5" xfId="1" applyNumberFormat="1" applyFont="1" applyFill="1" applyBorder="1" applyAlignment="1" applyProtection="1">
      <alignment horizontal="center" vertical="center" wrapText="1"/>
      <protection locked="0"/>
    </xf>
    <xf numFmtId="0" fontId="29" fillId="0" borderId="5" xfId="1" applyFont="1" applyFill="1" applyBorder="1" applyAlignment="1" applyProtection="1">
      <alignment horizontal="left" vertical="center" wrapText="1"/>
      <protection locked="0"/>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0" fontId="29" fillId="0" borderId="1" xfId="1" applyFont="1" applyBorder="1" applyAlignment="1" applyProtection="1">
      <alignment horizontal="center" vertical="center" wrapText="1"/>
      <protection locked="0"/>
    </xf>
    <xf numFmtId="0" fontId="29" fillId="6" borderId="1" xfId="1" applyFont="1" applyFill="1" applyBorder="1" applyAlignment="1" applyProtection="1">
      <alignment horizontal="center" vertical="center" wrapText="1"/>
    </xf>
    <xf numFmtId="164" fontId="29" fillId="0" borderId="5" xfId="1" applyNumberFormat="1" applyFont="1" applyFill="1" applyBorder="1" applyAlignment="1" applyProtection="1">
      <alignment horizontal="center" vertical="center" wrapText="1"/>
      <protection locked="0"/>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164" fontId="29" fillId="0" borderId="5" xfId="1" applyNumberFormat="1" applyFont="1" applyFill="1" applyBorder="1" applyAlignment="1" applyProtection="1">
      <alignment horizontal="center" vertical="center" wrapText="1"/>
      <protection locked="0"/>
    </xf>
    <xf numFmtId="0" fontId="29" fillId="0" borderId="5" xfId="1" applyFont="1" applyFill="1" applyBorder="1" applyAlignment="1" applyProtection="1">
      <alignment horizontal="left" vertical="center" wrapText="1"/>
      <protection locked="0"/>
    </xf>
    <xf numFmtId="0" fontId="2" fillId="2" borderId="1" xfId="1" applyFont="1" applyFill="1" applyBorder="1" applyAlignment="1">
      <alignment horizontal="center" vertical="center" wrapText="1"/>
    </xf>
    <xf numFmtId="0" fontId="7" fillId="4" borderId="20" xfId="1" applyFont="1" applyFill="1" applyBorder="1" applyAlignment="1">
      <alignment horizontal="center" vertical="center" wrapText="1" readingOrder="1"/>
    </xf>
    <xf numFmtId="0" fontId="2" fillId="2" borderId="12"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1" xfId="1" applyFont="1" applyBorder="1" applyAlignment="1">
      <alignment horizontal="center" vertical="center"/>
    </xf>
    <xf numFmtId="0" fontId="16" fillId="0" borderId="5" xfId="1" applyFont="1" applyFill="1" applyBorder="1" applyAlignment="1" applyProtection="1">
      <alignment horizontal="left" vertical="center" wrapText="1"/>
      <protection locked="0"/>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0" fontId="29" fillId="0" borderId="1" xfId="1" applyFont="1" applyBorder="1" applyAlignment="1" applyProtection="1">
      <alignment horizontal="center" vertical="center" wrapText="1"/>
      <protection locked="0"/>
    </xf>
    <xf numFmtId="0" fontId="29" fillId="0" borderId="1" xfId="1" applyFont="1" applyFill="1" applyBorder="1" applyAlignment="1" applyProtection="1">
      <alignment horizontal="center" vertical="center" wrapText="1"/>
      <protection locked="0"/>
    </xf>
    <xf numFmtId="0" fontId="29" fillId="0" borderId="1" xfId="1" applyFont="1" applyBorder="1" applyAlignment="1" applyProtection="1">
      <alignment vertical="center" wrapText="1"/>
      <protection locked="0"/>
    </xf>
    <xf numFmtId="0" fontId="29" fillId="0" borderId="1" xfId="1" applyFont="1" applyFill="1" applyBorder="1" applyAlignment="1" applyProtection="1">
      <alignment vertical="center" wrapText="1"/>
      <protection locked="0"/>
    </xf>
    <xf numFmtId="0" fontId="29" fillId="0" borderId="1" xfId="1" applyFont="1" applyFill="1" applyBorder="1" applyAlignment="1" applyProtection="1">
      <alignment horizontal="left" vertical="center" wrapText="1"/>
      <protection locked="0"/>
    </xf>
    <xf numFmtId="0" fontId="30" fillId="0" borderId="1" xfId="1" applyFont="1" applyBorder="1" applyAlignment="1" applyProtection="1">
      <alignment horizontal="left" vertical="center" wrapText="1"/>
      <protection locked="0"/>
    </xf>
    <xf numFmtId="164" fontId="29" fillId="0" borderId="1" xfId="1" applyNumberFormat="1" applyFont="1" applyFill="1" applyBorder="1" applyAlignment="1" applyProtection="1">
      <alignment horizontal="center" vertical="center" wrapText="1"/>
      <protection locked="0"/>
    </xf>
    <xf numFmtId="0" fontId="16" fillId="3" borderId="1" xfId="1" applyFont="1" applyFill="1" applyBorder="1" applyAlignment="1" applyProtection="1">
      <alignment horizontal="left" vertical="center" wrapText="1"/>
      <protection locked="0"/>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0" fontId="29" fillId="0" borderId="1" xfId="1" applyFont="1" applyBorder="1" applyAlignment="1" applyProtection="1">
      <alignment horizontal="center" vertical="center" wrapText="1"/>
      <protection locked="0"/>
    </xf>
    <xf numFmtId="0" fontId="29" fillId="0" borderId="1" xfId="1" applyFont="1" applyFill="1" applyBorder="1" applyAlignment="1" applyProtection="1">
      <alignment horizontal="center" vertical="center" wrapText="1"/>
      <protection locked="0"/>
    </xf>
    <xf numFmtId="0" fontId="29" fillId="0" borderId="1" xfId="1" applyFont="1" applyFill="1" applyBorder="1" applyAlignment="1" applyProtection="1">
      <alignment vertical="center" wrapText="1"/>
      <protection locked="0"/>
    </xf>
    <xf numFmtId="0" fontId="30" fillId="0" borderId="1" xfId="1" applyFont="1" applyFill="1" applyBorder="1" applyAlignment="1" applyProtection="1">
      <alignment vertical="center" wrapText="1"/>
      <protection locked="0"/>
    </xf>
    <xf numFmtId="0" fontId="29" fillId="0" borderId="1" xfId="1" applyFont="1" applyFill="1" applyBorder="1" applyAlignment="1" applyProtection="1">
      <alignment horizontal="left" vertical="center" wrapText="1"/>
      <protection locked="0"/>
    </xf>
    <xf numFmtId="164" fontId="29" fillId="0" borderId="1" xfId="1" applyNumberFormat="1" applyFont="1" applyFill="1" applyBorder="1" applyAlignment="1" applyProtection="1">
      <alignment horizontal="center" vertical="center" wrapText="1"/>
      <protection locked="0"/>
    </xf>
    <xf numFmtId="0" fontId="30" fillId="0" borderId="1" xfId="1" applyFont="1" applyFill="1" applyBorder="1" applyAlignment="1" applyProtection="1">
      <alignment horizontal="left" vertical="center" wrapText="1"/>
      <protection locked="0"/>
    </xf>
    <xf numFmtId="0" fontId="29" fillId="0" borderId="1" xfId="1" applyNumberFormat="1" applyFont="1" applyBorder="1" applyAlignment="1" applyProtection="1">
      <alignment horizontal="left" vertical="center" wrapText="1"/>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0" fontId="29" fillId="0" borderId="1" xfId="1" applyFont="1" applyBorder="1" applyAlignment="1" applyProtection="1">
      <alignment horizontal="center" vertical="center" wrapText="1"/>
      <protection locked="0"/>
    </xf>
    <xf numFmtId="0" fontId="29" fillId="0" borderId="1" xfId="1" applyFont="1" applyFill="1" applyBorder="1" applyAlignment="1" applyProtection="1">
      <alignment horizontal="center" vertical="center" wrapText="1"/>
      <protection locked="0"/>
    </xf>
    <xf numFmtId="0" fontId="29" fillId="0" borderId="1" xfId="1" applyFont="1" applyFill="1" applyBorder="1" applyAlignment="1" applyProtection="1">
      <alignment vertical="center" wrapText="1"/>
      <protection locked="0"/>
    </xf>
    <xf numFmtId="0" fontId="29" fillId="3" borderId="1" xfId="1" applyFont="1" applyFill="1" applyBorder="1" applyAlignment="1" applyProtection="1">
      <alignment horizontal="center" vertical="center" wrapText="1"/>
      <protection locked="0"/>
    </xf>
    <xf numFmtId="0" fontId="29" fillId="0" borderId="1" xfId="1" applyFont="1" applyFill="1" applyBorder="1" applyAlignment="1" applyProtection="1">
      <alignment horizontal="left" vertical="center" wrapText="1"/>
      <protection locked="0"/>
    </xf>
    <xf numFmtId="164" fontId="29" fillId="0" borderId="1" xfId="1" applyNumberFormat="1" applyFont="1" applyFill="1" applyBorder="1" applyAlignment="1" applyProtection="1">
      <alignment horizontal="center" vertical="center" wrapText="1"/>
      <protection locked="0"/>
    </xf>
    <xf numFmtId="0" fontId="30" fillId="0" borderId="1" xfId="1" applyFont="1" applyFill="1" applyBorder="1" applyAlignment="1" applyProtection="1">
      <alignment horizontal="left" vertical="center" wrapText="1"/>
      <protection locked="0"/>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0" fontId="29" fillId="0" borderId="1" xfId="1" applyFont="1" applyBorder="1" applyAlignment="1" applyProtection="1">
      <alignment horizontal="center" vertical="center" wrapText="1"/>
      <protection locked="0"/>
    </xf>
    <xf numFmtId="0" fontId="29" fillId="0" borderId="1" xfId="1" applyFont="1" applyFill="1" applyBorder="1" applyAlignment="1" applyProtection="1">
      <alignment horizontal="center" vertical="center" wrapText="1"/>
      <protection locked="0"/>
    </xf>
    <xf numFmtId="0" fontId="29" fillId="0" borderId="1" xfId="1" applyFont="1" applyFill="1" applyBorder="1" applyAlignment="1" applyProtection="1">
      <alignment vertical="center" wrapText="1"/>
      <protection locked="0"/>
    </xf>
    <xf numFmtId="0" fontId="29" fillId="0" borderId="1" xfId="1" applyNumberFormat="1" applyFont="1" applyBorder="1" applyAlignment="1" applyProtection="1">
      <alignment horizontal="justify" vertical="center" wrapText="1"/>
    </xf>
    <xf numFmtId="0" fontId="29" fillId="0" borderId="1" xfId="1" applyFont="1" applyFill="1" applyBorder="1" applyAlignment="1" applyProtection="1">
      <alignment horizontal="left" vertical="center" wrapText="1"/>
      <protection locked="0"/>
    </xf>
    <xf numFmtId="164" fontId="29" fillId="0" borderId="1" xfId="1" applyNumberFormat="1" applyFont="1" applyFill="1" applyBorder="1" applyAlignment="1" applyProtection="1">
      <alignment horizontal="center" vertical="center" wrapText="1"/>
      <protection locked="0"/>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0" fontId="29" fillId="0" borderId="1" xfId="1" applyFont="1" applyBorder="1" applyAlignment="1" applyProtection="1">
      <alignment horizontal="center" vertical="center" wrapText="1"/>
      <protection locked="0"/>
    </xf>
    <xf numFmtId="0" fontId="29" fillId="0" borderId="1" xfId="1" applyFont="1" applyFill="1" applyBorder="1" applyAlignment="1" applyProtection="1">
      <alignment vertical="center" wrapText="1"/>
      <protection locked="0"/>
    </xf>
    <xf numFmtId="0" fontId="29" fillId="0" borderId="1" xfId="1" applyNumberFormat="1" applyFont="1" applyBorder="1" applyAlignment="1" applyProtection="1">
      <alignment horizontal="justify" vertical="center" wrapText="1"/>
    </xf>
    <xf numFmtId="164" fontId="29" fillId="0" borderId="1" xfId="1" applyNumberFormat="1" applyFont="1" applyFill="1" applyBorder="1" applyAlignment="1" applyProtection="1">
      <alignment horizontal="center" vertical="center" wrapText="1"/>
      <protection locked="0"/>
    </xf>
    <xf numFmtId="0" fontId="29" fillId="0" borderId="1" xfId="1" applyNumberFormat="1" applyFont="1" applyBorder="1" applyAlignment="1" applyProtection="1">
      <alignment horizontal="center" vertical="center" wrapText="1"/>
    </xf>
    <xf numFmtId="0" fontId="29" fillId="3"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xf>
    <xf numFmtId="0" fontId="29" fillId="6" borderId="1" xfId="1" applyFont="1" applyFill="1" applyBorder="1" applyAlignment="1" applyProtection="1">
      <alignment horizontal="center" vertical="center" wrapText="1"/>
    </xf>
    <xf numFmtId="0" fontId="29" fillId="0" borderId="1" xfId="1" applyFont="1" applyFill="1" applyBorder="1" applyAlignment="1" applyProtection="1">
      <alignment horizontal="center" vertical="center" wrapText="1"/>
      <protection locked="0"/>
    </xf>
    <xf numFmtId="0" fontId="29" fillId="0" borderId="1" xfId="1" applyFont="1" applyBorder="1" applyAlignment="1" applyProtection="1">
      <alignment vertical="center" wrapText="1"/>
      <protection locked="0"/>
    </xf>
    <xf numFmtId="0" fontId="29" fillId="0" borderId="1" xfId="1" applyFont="1" applyFill="1" applyBorder="1" applyAlignment="1" applyProtection="1">
      <alignment vertical="center" wrapText="1"/>
      <protection locked="0"/>
    </xf>
    <xf numFmtId="0" fontId="29" fillId="3" borderId="1" xfId="1" applyFont="1" applyFill="1" applyBorder="1" applyAlignment="1" applyProtection="1">
      <alignment horizontal="center" vertical="center" wrapText="1"/>
      <protection locked="0"/>
    </xf>
    <xf numFmtId="0" fontId="29" fillId="0" borderId="1" xfId="1" applyNumberFormat="1" applyFont="1" applyBorder="1" applyAlignment="1" applyProtection="1">
      <alignment horizontal="justify" vertical="center" wrapText="1"/>
    </xf>
    <xf numFmtId="0" fontId="29" fillId="0" borderId="1" xfId="1" applyFont="1" applyFill="1" applyBorder="1" applyAlignment="1" applyProtection="1">
      <alignment horizontal="left" vertical="center" wrapText="1"/>
      <protection locked="0"/>
    </xf>
    <xf numFmtId="164" fontId="29" fillId="0" borderId="1" xfId="1" applyNumberFormat="1" applyFont="1" applyFill="1" applyBorder="1" applyAlignment="1" applyProtection="1">
      <alignment horizontal="center" vertical="center" wrapText="1"/>
      <protection locked="0"/>
    </xf>
    <xf numFmtId="0" fontId="16" fillId="3" borderId="1" xfId="1" applyFont="1" applyFill="1" applyBorder="1" applyAlignment="1" applyProtection="1">
      <alignment vertical="center" wrapText="1"/>
      <protection locked="0"/>
    </xf>
    <xf numFmtId="0" fontId="14" fillId="3" borderId="5" xfId="1" applyFont="1" applyFill="1" applyBorder="1" applyAlignment="1">
      <alignment horizontal="left" vertical="center" wrapText="1"/>
    </xf>
    <xf numFmtId="0" fontId="14" fillId="0" borderId="14" xfId="0" applyFont="1" applyBorder="1" applyAlignment="1">
      <alignment horizontal="left" vertical="center" wrapText="1"/>
    </xf>
    <xf numFmtId="0" fontId="14" fillId="3" borderId="23" xfId="1" applyFont="1" applyFill="1" applyBorder="1" applyAlignment="1">
      <alignment horizontal="left" vertical="center" wrapText="1"/>
    </xf>
    <xf numFmtId="0" fontId="17" fillId="0" borderId="14" xfId="0" applyFont="1" applyBorder="1" applyAlignment="1" applyProtection="1">
      <alignment horizontal="justify" vertical="center" wrapText="1"/>
      <protection locked="0"/>
    </xf>
    <xf numFmtId="0" fontId="29" fillId="0" borderId="5" xfId="1" applyFont="1" applyFill="1" applyBorder="1" applyAlignment="1" applyProtection="1">
      <alignment horizontal="left" vertical="center" wrapText="1"/>
      <protection locked="0"/>
    </xf>
    <xf numFmtId="0" fontId="2" fillId="2" borderId="1" xfId="1" applyFont="1" applyFill="1" applyBorder="1" applyAlignment="1">
      <alignment horizontal="center" vertical="center" wrapText="1"/>
    </xf>
    <xf numFmtId="0" fontId="7" fillId="4" borderId="17" xfId="1" applyFont="1" applyFill="1" applyBorder="1" applyAlignment="1">
      <alignment horizontal="center" vertical="center" wrapText="1" readingOrder="1"/>
    </xf>
    <xf numFmtId="0" fontId="7" fillId="4" borderId="20" xfId="1" applyFont="1" applyFill="1" applyBorder="1" applyAlignment="1">
      <alignment horizontal="center" vertical="center" wrapText="1" readingOrder="1"/>
    </xf>
    <xf numFmtId="0" fontId="7" fillId="4" borderId="18" xfId="1" applyFont="1" applyFill="1" applyBorder="1" applyAlignment="1">
      <alignment horizontal="center" vertical="center" readingOrder="1"/>
    </xf>
    <xf numFmtId="0" fontId="7" fillId="4" borderId="19" xfId="1" applyFont="1" applyFill="1" applyBorder="1" applyAlignment="1">
      <alignment horizontal="center" vertical="center" readingOrder="1"/>
    </xf>
    <xf numFmtId="0" fontId="2" fillId="2" borderId="5"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30" fillId="0" borderId="5" xfId="4" applyFont="1" applyFill="1" applyBorder="1" applyAlignment="1" applyProtection="1">
      <alignment horizontal="center" vertical="center" wrapText="1"/>
      <protection locked="0"/>
    </xf>
    <xf numFmtId="0" fontId="30" fillId="0" borderId="6" xfId="4" applyFont="1" applyFill="1" applyBorder="1" applyAlignment="1" applyProtection="1">
      <alignment horizontal="center" vertical="center" wrapText="1"/>
      <protection locked="0"/>
    </xf>
    <xf numFmtId="0" fontId="30" fillId="0" borderId="5" xfId="1" applyFont="1" applyFill="1" applyBorder="1" applyAlignment="1" applyProtection="1">
      <alignment horizontal="center" vertical="center" wrapText="1"/>
      <protection locked="0"/>
    </xf>
    <xf numFmtId="0" fontId="30" fillId="0" borderId="6" xfId="1" applyFont="1" applyFill="1" applyBorder="1" applyAlignment="1" applyProtection="1">
      <alignment horizontal="center" vertical="center" wrapText="1"/>
      <protection locked="0"/>
    </xf>
    <xf numFmtId="0" fontId="3" fillId="0" borderId="1" xfId="1" applyFont="1" applyBorder="1" applyAlignment="1">
      <alignment horizontal="center" vertical="center"/>
    </xf>
    <xf numFmtId="49" fontId="2"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6" xfId="1" applyNumberFormat="1" applyFont="1" applyBorder="1" applyAlignment="1">
      <alignment horizontal="left" vertical="center"/>
    </xf>
    <xf numFmtId="0" fontId="5" fillId="0" borderId="1" xfId="1" applyFont="1" applyFill="1" applyBorder="1" applyAlignment="1">
      <alignment horizontal="center" vertical="center"/>
    </xf>
    <xf numFmtId="0" fontId="3" fillId="2" borderId="5"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0" borderId="5" xfId="1" applyFont="1" applyBorder="1" applyAlignment="1">
      <alignment horizontal="left" vertical="center"/>
    </xf>
    <xf numFmtId="0" fontId="2" fillId="0" borderId="12" xfId="1" applyFont="1" applyBorder="1" applyAlignment="1">
      <alignment horizontal="left" vertical="center"/>
    </xf>
    <xf numFmtId="0" fontId="2" fillId="0" borderId="6" xfId="1" applyFont="1" applyBorder="1" applyAlignment="1">
      <alignment horizontal="left" vertical="center"/>
    </xf>
    <xf numFmtId="0" fontId="2" fillId="0" borderId="5" xfId="1" applyNumberFormat="1" applyFont="1" applyBorder="1" applyAlignment="1">
      <alignment horizontal="left" vertical="top" wrapText="1"/>
    </xf>
    <xf numFmtId="0" fontId="2" fillId="0" borderId="12" xfId="1" applyNumberFormat="1" applyFont="1" applyBorder="1" applyAlignment="1">
      <alignment horizontal="left" vertical="top" wrapText="1"/>
    </xf>
    <xf numFmtId="0" fontId="2" fillId="0" borderId="6" xfId="1" applyNumberFormat="1" applyFont="1" applyBorder="1" applyAlignment="1">
      <alignment horizontal="left" vertical="top" wrapText="1"/>
    </xf>
    <xf numFmtId="0" fontId="2" fillId="0" borderId="1" xfId="1" applyFont="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4" fillId="0" borderId="5" xfId="1" applyFont="1" applyFill="1" applyBorder="1" applyAlignment="1">
      <alignment horizontal="left" vertical="center" wrapText="1"/>
    </xf>
    <xf numFmtId="0" fontId="4" fillId="0" borderId="6" xfId="1" applyFont="1" applyFill="1" applyBorder="1" applyAlignment="1">
      <alignment horizontal="left" vertical="center" wrapText="1"/>
    </xf>
    <xf numFmtId="165" fontId="16" fillId="0" borderId="5" xfId="1" applyNumberFormat="1" applyFont="1" applyBorder="1" applyAlignment="1" applyProtection="1">
      <alignment horizontal="left" vertical="center"/>
    </xf>
    <xf numFmtId="165" fontId="16" fillId="0" borderId="12" xfId="1" applyNumberFormat="1" applyFont="1" applyBorder="1" applyAlignment="1" applyProtection="1">
      <alignment horizontal="left" vertical="center"/>
    </xf>
    <xf numFmtId="165" fontId="16" fillId="0" borderId="6" xfId="1" applyNumberFormat="1" applyFont="1" applyBorder="1" applyAlignment="1" applyProtection="1">
      <alignment horizontal="left" vertical="center"/>
    </xf>
    <xf numFmtId="0" fontId="17" fillId="0" borderId="5" xfId="2" applyFont="1" applyFill="1" applyBorder="1" applyAlignment="1" applyProtection="1">
      <alignment horizontal="center" vertical="center" wrapText="1"/>
      <protection locked="0"/>
    </xf>
    <xf numFmtId="0" fontId="17" fillId="0" borderId="6" xfId="2"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6" fillId="0" borderId="5" xfId="1" applyFont="1" applyBorder="1" applyAlignment="1" applyProtection="1">
      <alignment horizontal="left" vertical="center"/>
    </xf>
    <xf numFmtId="0" fontId="16" fillId="0" borderId="12" xfId="1" applyFont="1" applyBorder="1" applyAlignment="1" applyProtection="1">
      <alignment horizontal="left" vertical="center"/>
    </xf>
    <xf numFmtId="0" fontId="16" fillId="0" borderId="6" xfId="1" applyFont="1" applyBorder="1" applyAlignment="1" applyProtection="1">
      <alignment horizontal="left" vertical="center"/>
    </xf>
    <xf numFmtId="49" fontId="16" fillId="0" borderId="5" xfId="1" applyNumberFormat="1" applyFont="1" applyBorder="1" applyAlignment="1" applyProtection="1">
      <alignment horizontal="left" vertical="center"/>
      <protection locked="0"/>
    </xf>
    <xf numFmtId="49" fontId="16" fillId="0" borderId="12" xfId="1" applyNumberFormat="1" applyFont="1" applyBorder="1" applyAlignment="1" applyProtection="1">
      <alignment horizontal="left" vertical="center"/>
      <protection locked="0"/>
    </xf>
    <xf numFmtId="49" fontId="16" fillId="0" borderId="6" xfId="1" applyNumberFormat="1" applyFont="1" applyBorder="1" applyAlignment="1" applyProtection="1">
      <alignment horizontal="left" vertical="center"/>
      <protection locked="0"/>
    </xf>
    <xf numFmtId="0" fontId="30" fillId="0" borderId="5" xfId="2" applyFont="1" applyFill="1" applyBorder="1" applyAlignment="1" applyProtection="1">
      <alignment horizontal="center" vertical="center" wrapText="1"/>
      <protection locked="0"/>
    </xf>
    <xf numFmtId="0" fontId="30" fillId="0" borderId="6" xfId="2" applyFont="1" applyFill="1" applyBorder="1" applyAlignment="1" applyProtection="1">
      <alignment horizontal="center" vertical="center" wrapText="1"/>
      <protection locked="0"/>
    </xf>
    <xf numFmtId="0" fontId="22" fillId="0" borderId="2" xfId="2" applyFont="1" applyFill="1" applyBorder="1" applyAlignment="1" applyProtection="1">
      <alignment horizontal="center" vertical="center" wrapText="1"/>
      <protection locked="0"/>
    </xf>
    <xf numFmtId="0" fontId="22" fillId="0" borderId="4" xfId="2" applyFont="1" applyFill="1" applyBorder="1" applyAlignment="1" applyProtection="1">
      <alignment horizontal="center" vertical="center" wrapText="1"/>
      <protection locked="0"/>
    </xf>
    <xf numFmtId="0" fontId="22" fillId="0" borderId="1" xfId="2" applyFont="1" applyFill="1" applyBorder="1" applyAlignment="1" applyProtection="1">
      <alignment horizontal="center" vertical="center" wrapText="1"/>
      <protection locked="0"/>
    </xf>
    <xf numFmtId="0" fontId="22" fillId="0" borderId="5" xfId="2" applyFont="1" applyFill="1" applyBorder="1" applyAlignment="1" applyProtection="1">
      <alignment horizontal="center" vertical="center" wrapText="1"/>
      <protection locked="0"/>
    </xf>
    <xf numFmtId="0" fontId="22" fillId="0" borderId="6" xfId="2" applyFont="1" applyFill="1" applyBorder="1" applyAlignment="1" applyProtection="1">
      <alignment horizontal="center" vertical="center" wrapText="1"/>
      <protection locked="0"/>
    </xf>
    <xf numFmtId="0" fontId="7" fillId="4" borderId="25" xfId="1" applyFont="1" applyFill="1" applyBorder="1" applyAlignment="1">
      <alignment horizontal="center" vertical="center" wrapText="1" readingOrder="1"/>
    </xf>
    <xf numFmtId="0" fontId="7" fillId="4" borderId="26" xfId="1" applyFont="1" applyFill="1" applyBorder="1" applyAlignment="1">
      <alignment horizontal="center" vertical="center" readingOrder="1"/>
    </xf>
    <xf numFmtId="0" fontId="7" fillId="4" borderId="27" xfId="1" applyFont="1" applyFill="1" applyBorder="1" applyAlignment="1">
      <alignment horizontal="center" vertical="center" readingOrder="1"/>
    </xf>
    <xf numFmtId="0" fontId="17" fillId="0" borderId="2" xfId="2" applyFont="1" applyFill="1" applyBorder="1" applyAlignment="1" applyProtection="1">
      <alignment horizontal="center" vertical="center" wrapText="1"/>
      <protection locked="0"/>
    </xf>
    <xf numFmtId="0" fontId="17" fillId="0" borderId="4" xfId="2" applyFont="1" applyFill="1" applyBorder="1" applyAlignment="1" applyProtection="1">
      <alignment horizontal="center" vertical="center" wrapText="1"/>
      <protection locked="0"/>
    </xf>
    <xf numFmtId="0" fontId="15" fillId="0" borderId="5" xfId="2" applyFont="1" applyFill="1" applyBorder="1" applyAlignment="1" applyProtection="1">
      <alignment horizontal="center" vertical="center" wrapText="1"/>
      <protection locked="0"/>
    </xf>
    <xf numFmtId="0" fontId="15" fillId="0" borderId="6" xfId="2"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5" fillId="0" borderId="6" xfId="1" applyFont="1" applyFill="1" applyBorder="1" applyAlignment="1" applyProtection="1">
      <alignment horizontal="center" vertical="center" wrapText="1"/>
      <protection locked="0"/>
    </xf>
    <xf numFmtId="0" fontId="22" fillId="0" borderId="1" xfId="1" applyFont="1" applyFill="1" applyBorder="1" applyAlignment="1" applyProtection="1">
      <alignment horizontal="left" vertical="center" wrapText="1"/>
    </xf>
    <xf numFmtId="0" fontId="17" fillId="9" borderId="5" xfId="2" applyFont="1" applyFill="1" applyBorder="1" applyAlignment="1" applyProtection="1">
      <alignment horizontal="center" vertical="center" wrapText="1"/>
      <protection locked="0"/>
    </xf>
    <xf numFmtId="0" fontId="17" fillId="9" borderId="6" xfId="2" applyFont="1" applyFill="1" applyBorder="1" applyAlignment="1" applyProtection="1">
      <alignment horizontal="center" vertical="center" wrapText="1"/>
      <protection locked="0"/>
    </xf>
    <xf numFmtId="0" fontId="17" fillId="0" borderId="5" xfId="1" applyFont="1" applyFill="1" applyBorder="1" applyAlignment="1" applyProtection="1">
      <alignment horizontal="center" vertical="center" wrapText="1"/>
      <protection locked="0"/>
    </xf>
    <xf numFmtId="0" fontId="17" fillId="0" borderId="6" xfId="1" applyFont="1" applyFill="1" applyBorder="1" applyAlignment="1" applyProtection="1">
      <alignment horizontal="center" vertical="center" wrapText="1"/>
      <protection locked="0"/>
    </xf>
    <xf numFmtId="0" fontId="2" fillId="0" borderId="0" xfId="1" applyFont="1" applyAlignment="1">
      <alignment horizontal="center" vertical="center" wrapText="1"/>
    </xf>
    <xf numFmtId="0" fontId="2" fillId="0" borderId="22" xfId="1" applyFont="1" applyBorder="1" applyAlignment="1">
      <alignment horizontal="center" vertical="center" wrapText="1"/>
    </xf>
    <xf numFmtId="0" fontId="30" fillId="0" borderId="5"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wrapText="1"/>
      <protection locked="0"/>
    </xf>
    <xf numFmtId="0" fontId="7" fillId="4" borderId="1" xfId="1" applyFont="1" applyFill="1" applyBorder="1" applyAlignment="1">
      <alignment horizontal="center" vertical="center" readingOrder="1"/>
    </xf>
    <xf numFmtId="0" fontId="17" fillId="3" borderId="5"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16" fillId="0" borderId="5" xfId="1" applyNumberFormat="1" applyFont="1" applyBorder="1" applyAlignment="1" applyProtection="1">
      <alignment horizontal="left" vertical="center" wrapText="1"/>
    </xf>
    <xf numFmtId="0" fontId="16" fillId="0" borderId="12" xfId="1" applyNumberFormat="1" applyFont="1" applyBorder="1" applyAlignment="1" applyProtection="1">
      <alignment horizontal="left" vertical="center" wrapText="1"/>
    </xf>
    <xf numFmtId="0" fontId="16" fillId="0" borderId="6" xfId="1" applyNumberFormat="1" applyFont="1" applyBorder="1" applyAlignment="1" applyProtection="1">
      <alignment horizontal="left" vertical="center" wrapText="1"/>
    </xf>
    <xf numFmtId="0" fontId="30" fillId="0" borderId="1" xfId="4" applyFont="1" applyFill="1" applyBorder="1" applyAlignment="1" applyProtection="1">
      <alignment horizontal="center" vertical="center" wrapText="1"/>
      <protection locked="0"/>
    </xf>
    <xf numFmtId="165" fontId="29" fillId="0" borderId="5" xfId="1" applyNumberFormat="1" applyFont="1" applyBorder="1" applyAlignment="1" applyProtection="1">
      <alignment horizontal="left" vertical="center"/>
    </xf>
    <xf numFmtId="165" fontId="29" fillId="0" borderId="12" xfId="1" applyNumberFormat="1" applyFont="1" applyBorder="1" applyAlignment="1" applyProtection="1">
      <alignment horizontal="left" vertical="center"/>
    </xf>
    <xf numFmtId="165" fontId="29" fillId="0" borderId="6" xfId="1" applyNumberFormat="1" applyFont="1" applyBorder="1" applyAlignment="1" applyProtection="1">
      <alignment horizontal="left" vertical="center"/>
    </xf>
  </cellXfs>
  <cellStyles count="5">
    <cellStyle name="Normal" xfId="0" builtinId="0"/>
    <cellStyle name="Normal 2" xfId="1"/>
    <cellStyle name="Normal 3" xfId="2"/>
    <cellStyle name="Normal 3 2" xfId="3"/>
    <cellStyle name="Normal 4" xfId="4"/>
  </cellStyles>
  <dxfs count="208">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externalLink" Target="externalLinks/externalLink26.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6929527</xdr:colOff>
      <xdr:row>0</xdr:row>
      <xdr:rowOff>72159</xdr:rowOff>
    </xdr:from>
    <xdr:to>
      <xdr:col>0</xdr:col>
      <xdr:colOff>10731501</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309902" y="72159"/>
          <a:ext cx="1499" cy="920199"/>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5888827" cy="920199"/>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2533650</xdr:colOff>
      <xdr:row>0</xdr:row>
      <xdr:rowOff>76200</xdr:rowOff>
    </xdr:from>
    <xdr:to>
      <xdr:col>1</xdr:col>
      <xdr:colOff>2381250</xdr:colOff>
      <xdr:row>3</xdr:row>
      <xdr:rowOff>171450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76200"/>
          <a:ext cx="2726267" cy="910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2397213</xdr:colOff>
      <xdr:row>0</xdr:row>
      <xdr:rowOff>0</xdr:rowOff>
    </xdr:from>
    <xdr:to>
      <xdr:col>3</xdr:col>
      <xdr:colOff>142165</xdr:colOff>
      <xdr:row>3</xdr:row>
      <xdr:rowOff>101049</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397213" y="0"/>
          <a:ext cx="5896765" cy="92654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4</xdr:col>
      <xdr:colOff>0</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9326474" cy="92019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4</xdr:col>
      <xdr:colOff>0</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9326474" cy="92019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6929527</xdr:colOff>
      <xdr:row>0</xdr:row>
      <xdr:rowOff>72159</xdr:rowOff>
    </xdr:from>
    <xdr:to>
      <xdr:col>0</xdr:col>
      <xdr:colOff>10731501</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757327" y="72159"/>
          <a:ext cx="1499" cy="57729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2532151</xdr:colOff>
      <xdr:row>0</xdr:row>
      <xdr:rowOff>72159</xdr:rowOff>
    </xdr:from>
    <xdr:to>
      <xdr:col>3</xdr:col>
      <xdr:colOff>277103</xdr:colOff>
      <xdr:row>3</xdr:row>
      <xdr:rowOff>173208</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2532151" y="72159"/>
          <a:ext cx="3193252" cy="92019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ngarita\Downloads\MAPA%20%20RIESGOS%20CORRUPCI&#211;N%20comunicacion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20Atenci&#243;n%20al%20cidadano%20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hangarita\Downloads\MAPA%20DE%20RIESGO%20CORRUPCI&#211;N%20Gesti&#243;n%20Documental%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hangarita\Downloads\Mapa%20de%20riesgo%20de%20Gesti&#243;nl%20y%20corrupcion%20julio%20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20juridic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20INF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20contabilida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hangarita\Downloads\MAPA%20DE%20RIESGOS%20ANTICORRUPCION%20presupuest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hangarita\Downloads\FORMATO%20MAPA%20DE%20RIESGO%20TESORERI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20INF%20FIN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20recursos%20f&#237;sic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20Planeaci&#243;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laneacion\AppData\Local\Microsoft\Windows\INetCache\Content.Outlook\0X2C29V2\PAAC%20AGOSTO%202017\MATRIZ%20INTEGRADA%20GESTION%20CORRUPCI&#211;N%20CORTE%2030%20JUNIO%202017.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20TH.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Planeacion\AppData\Local\Microsoft\Windows\INetCache\Content.Outlook\0X2C29V2\MAPA%20DE%20RIESGOS%20TALENTO%20HUMANO%20AGOSTO%203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hangarita\Downloads\MAPA%20DE%20RIESGO%20TH%20JULIO%202017%20(Recuperado)%20(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OF_%20ASESORA_DE_PLANEACION\Compartida\Mapas%20de%20riesgos%20II%20Trimestre2017\MAPA%20DE%20RIESGO%20Gestion%20SGI%20final.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hangarita\Downloads\FORMATO%20MAPA%20DE%20RIESGO%20Disciplinario.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hangarita\Downloads\MATRIZ_INTEGRADA_GESTI&#211;N_CORRUPCI&#211;N%20PRIMER%20SEMESTRE%202017%20con%20avances%20a%2008%20de%20agosto%20de%202017.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hangarita\Downloads\Mapa%20de%20corrupci&#243;n%20control%20intern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Generar%20datos%20e%20informa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1.COMPARTIDA_IDEAM\M%20SGI\MONITOREO%20MAPA%20DE%20RIESGOS\JULIO%202017\SUB-METEOROLOGIA\E-SGI-F006%20GENERACION%20DATOS%20MAPA%20DE%20RIESGO%20v5%20Monitoreo%20Meteorologia%20Jul-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20Generar%20conocimiento%20e%20investigaci&#243;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Planeacion\AppData\Local\Microsoft\Windows\INetCache\Content.Outlook\0X2C29V2\GENERACION%20DE%20CONOC_INVESIG%20MAPA%20DE%20RIESGO%20v5%20Monitoreo%20Meteorologia%20Jul-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F_%20ASESORA_DE_PLANEACION\Compartida\Mapas%20de%20riesgos%20II%20Trimestre2017\MAPA%20DE%20RIESGO%20Gen_Conoc_Investig%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angarita\Downloads\E-PI-F006%20FORMATO%20MAPA%20DE%20RIESGO%20servici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hangarita\Downloads\MATRIZ%20DE%20RIESGOS%20Servicios-Acreditaci&#243;n%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R1"/>
      <sheetName val="ImpactoRiesgoCorrup R2"/>
      <sheetName val="ImpactoRiesgoCorrupR3"/>
      <sheetName val="AnálisisRiesgo"/>
      <sheetName val="EvaluaciónRiesgoCorrupR1"/>
      <sheetName val="EvaluaciónRiesgoCorrupR2"/>
      <sheetName val="EvaluaciónRiesgoCorrupR3"/>
      <sheetName val="EvaluaciónRiesgoGestión"/>
      <sheetName val="MapaRiesgos,"/>
      <sheetName val="Anterior"/>
      <sheetName val="MapaRiesgos Gest Comunicaciones"/>
    </sheetNames>
    <sheetDataSet>
      <sheetData sheetId="0"/>
      <sheetData sheetId="1">
        <row r="2">
          <cell r="B2" t="str">
            <v>GESTIÓN DE COMUNICACIONES</v>
          </cell>
        </row>
        <row r="3">
          <cell r="B3" t="str">
            <v xml:space="preserve">Diseñar, estandarizar, promover y evaluar las estrategias de comunicación interna y externa y de redes sociales del Instituto, que permitan mantener informados a los clientes y/o usuarios sobre las decisiones, acontecimientos y demás hechos de interés general, promovidos y/o organizados por la entidad.
</v>
          </cell>
        </row>
        <row r="6">
          <cell r="A6" t="str">
            <v xml:space="preserve">Obetenr algun beneficio personal o dinero adicional, con la información técnico científica que genera el Instituto.
                                                                                                                                                                                                                                                                                                                                                                                                                                                                                                  </v>
          </cell>
          <cell r="B6" t="str">
            <v>Utilizar indebidamente la información noticiosa previo a su publicación en los diferentes canales como la Web, el Twitter o el Facebook de la Entidad.</v>
          </cell>
        </row>
        <row r="7">
          <cell r="A7" t="str">
            <v xml:space="preserve">Falta de control en la priorización de la información que se emite a los usuarios. 
Falta de conocimiento de los funcionarios por cumplir con el deber del libre accaeso a la información como derecho fundamental de los ciudadanos. </v>
          </cell>
          <cell r="B7" t="str">
            <v xml:space="preserve">Ocultar información clave para ciudadanía en caulquier proceso de Rendicion de Cuentas. </v>
          </cell>
        </row>
        <row r="8">
          <cell r="A8" t="str">
            <v xml:space="preserve">Desconocimiento de roles y responsabilidades frente a divulgacion de la informacion noticiosa por parte de los funcionarios del Grupo de comunicaciones IDEAM.
Pronunciamientos confusos para usuarios y partes interesadas sobre el IDEAM.
Entrega incompleta y/o extemporanea de la información, por parte de los diferentes procesos.
</v>
          </cell>
          <cell r="B8" t="str">
            <v>Manipular y divulgar informacion noticiosa, incompleta, confusa e inadecuada a usuarios y partes interesadas relacionada con planes, proyectos, programas, servicios, tramites y actividades del instituto, en beneficio particular.</v>
          </cell>
        </row>
      </sheetData>
      <sheetData sheetId="2"/>
      <sheetData sheetId="3"/>
      <sheetData sheetId="4"/>
      <sheetData sheetId="5"/>
      <sheetData sheetId="6">
        <row r="9">
          <cell r="B9">
            <v>0</v>
          </cell>
        </row>
      </sheetData>
      <sheetData sheetId="7"/>
      <sheetData sheetId="8"/>
      <sheetData sheetId="9">
        <row r="11">
          <cell r="F11">
            <v>85</v>
          </cell>
        </row>
      </sheetData>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1"/>
      <sheetName val="AnálisisRiesgo"/>
      <sheetName val="EvaluaciónRiesgoCorrup 1"/>
      <sheetName val="EvaluaciónRiesgoGestión"/>
      <sheetName val="MapaRiesgos,"/>
      <sheetName val="Anterior"/>
      <sheetName val="MapaRiesgos Atención ciudadano"/>
    </sheetNames>
    <sheetDataSet>
      <sheetData sheetId="0"/>
      <sheetData sheetId="1">
        <row r="2">
          <cell r="B2" t="str">
            <v>ATENCION AL CIUDADANO</v>
          </cell>
        </row>
        <row r="3">
          <cell r="B3" t="str">
            <v>Brindar a los usuarios internos y externos del Instituto, una atención y orientación oportuna, eficaz y eficiente, con calidad, garantizando un trato amable y el acceso efectivo a la información que genera el IDEAM.</v>
          </cell>
        </row>
      </sheetData>
      <sheetData sheetId="2"/>
      <sheetData sheetId="3"/>
      <sheetData sheetId="4">
        <row r="9">
          <cell r="B9">
            <v>0</v>
          </cell>
        </row>
      </sheetData>
      <sheetData sheetId="5">
        <row r="11">
          <cell r="F11">
            <v>100</v>
          </cell>
        </row>
      </sheetData>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1"/>
      <sheetName val="AnálisisRiesgo"/>
      <sheetName val="EvaluaciónRiesgoCorrup1"/>
      <sheetName val="EvaluaciónRiesgoGestión"/>
      <sheetName val="MapaRiesgos,"/>
      <sheetName val="Anterior"/>
      <sheetName val="MapaRiesgos Gest Documental"/>
    </sheetNames>
    <sheetDataSet>
      <sheetData sheetId="0" refreshError="1"/>
      <sheetData sheetId="1" refreshError="1">
        <row r="2">
          <cell r="B2" t="str">
            <v>Gestión Documental</v>
          </cell>
        </row>
        <row r="3">
          <cell r="B3" t="str">
            <v xml:space="preserve">Administrar la producción, trámite, almacenamiento digital, recuperación, consulta y custodia de la correspondencia Institucional. Difundir y disponer para consulta la información ambiental y administrativa del Instituto y del Sistema de Información Nacional Ambiental – SINA-. </v>
          </cell>
        </row>
      </sheetData>
      <sheetData sheetId="2" refreshError="1"/>
      <sheetData sheetId="3" refreshError="1"/>
      <sheetData sheetId="4" refreshError="1"/>
      <sheetData sheetId="5" refreshError="1">
        <row r="11">
          <cell r="F11">
            <v>85</v>
          </cell>
        </row>
      </sheetData>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ificaciónRiesgos"/>
      <sheetName val="DefiniciónRiesgos"/>
      <sheetName val="ImpactoRiesgoCorrupción"/>
      <sheetName val="AnálisisRiesgos"/>
      <sheetName val="EvaluaciónRiesgos"/>
      <sheetName val="MapaRiesgos,"/>
      <sheetName val="Anterior"/>
      <sheetName val="MapaRiesgos"/>
    </sheetNames>
    <sheetDataSet>
      <sheetData sheetId="0"/>
      <sheetData sheetId="1">
        <row r="6">
          <cell r="B6" t="str">
            <v>Inadecuada manipulacion y administración de la documentacion Institucional por parte de las dependencias.</v>
          </cell>
        </row>
        <row r="8">
          <cell r="A8" t="str">
            <v>*Factores fisico ambientales
*No digitalizar documentos, libros o colecciones que se encuentren en soporte fisico.
*No contar con condiciones ténicas, y administrativas idoneas. 
*No contar con las condiciones fisicas de seguridad para la custodia de los documentos Institucionales.</v>
          </cell>
          <cell r="B8" t="str">
            <v>Extravío de los documentos del archivo de gestión centralizado y del centro de documentación.</v>
          </cell>
          <cell r="C8" t="str">
            <v xml:space="preserve">
Uso inadecuado de los usuarios y perdida de los documentos del archivo de gestión centralizado y del centro de documentación.</v>
          </cell>
          <cell r="D8" t="str">
            <v>*Perdida de documentación y memoria institucional.  
*Insatisfacción del usuario interno y/o externo. 
* Procesos disciplinarios por perdida de documentos institucionales.
*Detrimiento patrimonial.</v>
          </cell>
        </row>
        <row r="9">
          <cell r="A9" t="str">
            <v xml:space="preserve">*No contar con condiciones ténicas, y administrativas idoneas. 
*Información desactualizada por parte de las áreas encargadas.
</v>
          </cell>
          <cell r="B9" t="str">
            <v xml:space="preserve">No prestar un adecuado servicio de consulta de la información que reposa y produce el Instituto a los usuarios en general y al Sistema de Información Nacional Ambiental – SINA. </v>
          </cell>
          <cell r="C9" t="str">
            <v xml:space="preserve">No disponer de forma adecuada, la información ambiental y administrativa del Instituto y del Sistema de Información Nacional Ambiental – SINA, con el fin de que sea consultada por los usuario externos y/o internos.  </v>
          </cell>
          <cell r="D9" t="str">
            <v xml:space="preserve">*Insatisfacción del usuario interno y/o externo. 
*Perdida de confianza y crebilidad en la documentación institucional.
*Perdida de documentación y memoria institucional.  
*Generación de información erronea y desactualizada. 
</v>
          </cell>
        </row>
        <row r="10">
          <cell r="A10" t="str">
            <v>Desconocimiento o mala aplicación de la normatividad vigente.
Desconocimiento de los procesos, procedimientos y otros documentos del Sistema de Gestión Integrado.</v>
          </cell>
          <cell r="B10" t="str">
            <v>Inadecuado uso y manejo de los documentos públicos.</v>
          </cell>
          <cell r="C10" t="str">
            <v>Inadecuado uso y manejo de los documentos públicos con beneficio personal o de terceros.</v>
          </cell>
          <cell r="D10" t="str">
            <v>Sanciones disciplinarias.
Reprocesos y perdida de tiempo.
Mala imagen del Instituto.
Pérdida de la memoria Institucional.</v>
          </cell>
        </row>
      </sheetData>
      <sheetData sheetId="2">
        <row r="4">
          <cell r="A4" t="str">
            <v>Administrar de manera inadecuada la producción, trámite, almacenamiento digítal, recuperación, consulta y custodia de la documentacion Institucional.</v>
          </cell>
          <cell r="B4"/>
          <cell r="C4"/>
          <cell r="D4"/>
          <cell r="E4"/>
          <cell r="F4" t="str">
            <v>RIESGO DE GESTIÓN</v>
          </cell>
        </row>
        <row r="5">
          <cell r="A5" t="str">
            <v>No poder radicar ni digitalizar los documentos instititucionales</v>
          </cell>
          <cell r="B5"/>
          <cell r="C5"/>
          <cell r="D5"/>
          <cell r="E5"/>
          <cell r="F5" t="str">
            <v>RIESGO DE GESTIÓN</v>
          </cell>
        </row>
        <row r="6">
          <cell r="A6" t="str">
            <v xml:space="preserve">
Uso inadecuado de los usuarios y perdida de los documentos del archivo de gestión centralizado y del centro de documentación.</v>
          </cell>
          <cell r="B6"/>
          <cell r="C6"/>
          <cell r="D6"/>
          <cell r="E6"/>
          <cell r="F6" t="str">
            <v>RIESGO DE GESTIÓN</v>
          </cell>
        </row>
        <row r="7">
          <cell r="A7" t="str">
            <v xml:space="preserve">No disponer de forma adecuada, la información ambiental y administrativa del Instituto y del Sistema de Información Nacional Ambiental – SINA, con el fin de que sea consultada por los usuario externos y/o internos.  </v>
          </cell>
          <cell r="B7"/>
          <cell r="C7"/>
          <cell r="D7"/>
          <cell r="E7"/>
          <cell r="F7" t="str">
            <v>RIESGO DE GESTIÓN</v>
          </cell>
        </row>
        <row r="8">
          <cell r="A8" t="str">
            <v>Inadecuado uso y manejo de los documentos públicos con beneficio personal o de terceros.</v>
          </cell>
          <cell r="B8" t="str">
            <v>X</v>
          </cell>
          <cell r="C8" t="str">
            <v>X</v>
          </cell>
          <cell r="D8" t="str">
            <v>X</v>
          </cell>
          <cell r="E8" t="str">
            <v>X</v>
          </cell>
          <cell r="F8" t="str">
            <v>RIESGO DE CORRUPCIÓN</v>
          </cell>
        </row>
        <row r="9">
          <cell r="A9"/>
          <cell r="B9"/>
          <cell r="C9"/>
          <cell r="D9"/>
          <cell r="E9"/>
          <cell r="F9"/>
        </row>
      </sheetData>
      <sheetData sheetId="3"/>
      <sheetData sheetId="4">
        <row r="9">
          <cell r="B9"/>
        </row>
        <row r="11">
          <cell r="B11"/>
          <cell r="C11" t="str">
            <v>X</v>
          </cell>
          <cell r="D11"/>
          <cell r="E11"/>
          <cell r="F11"/>
          <cell r="G11"/>
          <cell r="H11" t="str">
            <v>X</v>
          </cell>
          <cell r="I11"/>
          <cell r="J11"/>
          <cell r="L11"/>
          <cell r="M11"/>
        </row>
        <row r="12">
          <cell r="B12"/>
          <cell r="C12"/>
          <cell r="D12"/>
          <cell r="E12" t="str">
            <v>X</v>
          </cell>
          <cell r="F12"/>
          <cell r="G12"/>
          <cell r="H12"/>
          <cell r="I12" t="str">
            <v>X</v>
          </cell>
          <cell r="J12"/>
          <cell r="L12"/>
          <cell r="M12"/>
        </row>
        <row r="13">
          <cell r="B13"/>
          <cell r="C13"/>
          <cell r="D13"/>
          <cell r="E13"/>
          <cell r="F13" t="str">
            <v>X</v>
          </cell>
          <cell r="G13"/>
          <cell r="H13"/>
          <cell r="I13"/>
          <cell r="J13"/>
          <cell r="L13"/>
          <cell r="M13" t="str">
            <v>X</v>
          </cell>
        </row>
      </sheetData>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R1"/>
      <sheetName val="AnálisisRiesgo"/>
      <sheetName val="EvaluaciónRiesgoCorrupR1"/>
      <sheetName val="EvaluaciónRiesgoGestión"/>
      <sheetName val="MapaRiesgos,"/>
      <sheetName val="Anterior"/>
      <sheetName val="MapaRiesgos Gest Juríd Contract"/>
    </sheetNames>
    <sheetDataSet>
      <sheetData sheetId="0" refreshError="1"/>
      <sheetData sheetId="1" refreshError="1">
        <row r="2">
          <cell r="B2" t="str">
            <v xml:space="preserve">Gestión Jurídica y Contractual </v>
          </cell>
        </row>
        <row r="3">
          <cell r="B3" t="str">
            <v>Asesorar a las diferentes dependencias del Instituto en temas de carácter contractual en sus diferentes etapas (precontractual, contractual y postcontractual), verificando que las mismas se ajustan a la normatividad vigente.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sheetName val="AnálisisRiesgo"/>
      <sheetName val="EvaluaciónRiesgoCorrup"/>
      <sheetName val="EvaluaciónRiesgoGestión"/>
      <sheetName val="MapaRiesgos,"/>
      <sheetName val="Anterior"/>
      <sheetName val="MapaRiesgos"/>
    </sheetNames>
    <sheetDataSet>
      <sheetData sheetId="0" refreshError="1"/>
      <sheetData sheetId="1" refreshError="1"/>
      <sheetData sheetId="2" refreshError="1"/>
      <sheetData sheetId="3" refreshError="1"/>
      <sheetData sheetId="4" refreshError="1"/>
      <sheetData sheetId="5">
        <row r="11">
          <cell r="F11">
            <v>100</v>
          </cell>
        </row>
      </sheetData>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1"/>
      <sheetName val="ImpactoRiesgoCorrup (2)"/>
      <sheetName val="ImpactoRiesgoCorrup (3)"/>
      <sheetName val="ImpactoRiesgoCorrup (4)"/>
      <sheetName val="AnálisisRiesgo"/>
      <sheetName val="EvaluaciónRiesgoCorrup 1"/>
      <sheetName val="EvaluaciónRiesgoCorrup  (2)"/>
      <sheetName val="EvaluaciónRiesgoCorrup  (3)"/>
      <sheetName val="EvaluaciónRiesgoCorrup  (4)"/>
      <sheetName val="EvaluaciónRiesgoGestión"/>
      <sheetName val="MapaRiesgos,"/>
      <sheetName val="Anterior"/>
      <sheetName val="MapaRiesgos Gest Finan-Contab"/>
    </sheetNames>
    <sheetDataSet>
      <sheetData sheetId="0"/>
      <sheetData sheetId="1">
        <row r="2">
          <cell r="B2" t="str">
            <v>Gestión Financiera-Contabilidad</v>
          </cell>
        </row>
        <row r="3">
          <cell r="B3" t="str">
            <v>Asegurar la oportuna provisión de recursos financieros necesarios para el autosostenimiento y desempeño eficaz y eficiente de la gestión financiera de la entidad mediante el registro de la ejecución presupuestal, la presentación de estados financieros y el recaudo de los ingresos y el pago de los compromisos.</v>
          </cell>
        </row>
      </sheetData>
      <sheetData sheetId="2"/>
      <sheetData sheetId="3"/>
      <sheetData sheetId="4"/>
      <sheetData sheetId="5"/>
      <sheetData sheetId="6"/>
      <sheetData sheetId="7">
        <row r="9">
          <cell r="B9">
            <v>0</v>
          </cell>
        </row>
      </sheetData>
      <sheetData sheetId="8">
        <row r="11">
          <cell r="F11">
            <v>85</v>
          </cell>
        </row>
      </sheetData>
      <sheetData sheetId="9">
        <row r="11">
          <cell r="F11">
            <v>65</v>
          </cell>
        </row>
      </sheetData>
      <sheetData sheetId="10">
        <row r="11">
          <cell r="F11">
            <v>65</v>
          </cell>
        </row>
      </sheetData>
      <sheetData sheetId="11">
        <row r="11">
          <cell r="F11">
            <v>85</v>
          </cell>
        </row>
      </sheetData>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sheetName val="AnálisisRiesgo"/>
      <sheetName val="EvaluaciónRiesgoCorrup"/>
      <sheetName val="EvaluaciónRiesgoGestión"/>
      <sheetName val="MapaRiesgos,"/>
      <sheetName val="Anterior"/>
      <sheetName val="MapaRiesgos Gest Finan-Presupue"/>
    </sheetNames>
    <sheetDataSet>
      <sheetData sheetId="0"/>
      <sheetData sheetId="1">
        <row r="2">
          <cell r="B2" t="str">
            <v>Gestión Financiera - Presupuesto</v>
          </cell>
        </row>
        <row r="3">
          <cell r="B3" t="str">
            <v>Asegurar la oportuna provisión de recursos financieros necesarios para el autosostenimiento y desempeño eficaz y eficiente de la gestión financiera de la entidad mediante el registro de la ejecución presupuestal, la presentación de estados financieros y el recaudo de los ingresos y el pago de los compromisos.</v>
          </cell>
        </row>
      </sheetData>
      <sheetData sheetId="2"/>
      <sheetData sheetId="3"/>
      <sheetData sheetId="4">
        <row r="9">
          <cell r="B9">
            <v>0</v>
          </cell>
        </row>
      </sheetData>
      <sheetData sheetId="5">
        <row r="11">
          <cell r="F11">
            <v>100</v>
          </cell>
        </row>
      </sheetData>
      <sheetData sheetId="6"/>
      <sheetData sheetId="7"/>
      <sheetData sheetId="8"/>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1)"/>
      <sheetName val="AnálisisRiesgo"/>
      <sheetName val="EvaluaciónRiesgoCorrup (1)"/>
      <sheetName val="EvaluaciónRiesgoGestión"/>
      <sheetName val="MapaRiesgos,"/>
      <sheetName val="Anterior"/>
      <sheetName val="MapaRiesgos Gest Finan-Tesorerí"/>
    </sheetNames>
    <sheetDataSet>
      <sheetData sheetId="0" refreshError="1"/>
      <sheetData sheetId="1" refreshError="1">
        <row r="2">
          <cell r="B2" t="str">
            <v>GESTION FINANCIERA - TESORERÍA</v>
          </cell>
        </row>
        <row r="3">
          <cell r="B3" t="str">
            <v>Asegurar la oportuna provisión de recursos financieros necesarios para el autosostenimiento y desempeño eficaz y eficiente de la gestión financiera de la entidad mediante el registro de la ejecución presupuestal, la presentación de estados financieros y el recaudo de los ingresos y el pago de los compromisos.</v>
          </cell>
        </row>
      </sheetData>
      <sheetData sheetId="2" refreshError="1"/>
      <sheetData sheetId="3" refreshError="1"/>
      <sheetData sheetId="4" refreshError="1"/>
      <sheetData sheetId="5" refreshError="1">
        <row r="11">
          <cell r="F11">
            <v>100</v>
          </cell>
        </row>
      </sheetData>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R1"/>
      <sheetName val="AnálisisRiesgo"/>
      <sheetName val="EvaluaciónRiesgoCorrup R1"/>
      <sheetName val="EvaluaciónRiesgoGestión"/>
      <sheetName val="MapaRiesgos,"/>
      <sheetName val="Anterior"/>
      <sheetName val="MapaRiesgos Gest Informática"/>
    </sheetNames>
    <sheetDataSet>
      <sheetData sheetId="0" refreshError="1"/>
      <sheetData sheetId="1">
        <row r="2">
          <cell r="B2" t="str">
            <v>GESTION DE RECURSOS INFORMATICOS Y TECNOLOGICOS</v>
          </cell>
        </row>
        <row r="3">
          <cell r="B3" t="str">
            <v>Servir como apoyo a todos los procesos del instituto, en cuanto a la implementación, mantenimiento y soporte técnico de los sistemas de información tanto misionales como de apoyo administrativo, garantizando a los usuarios el acceso a las herramientas informáticas a través de una infraestructura tecnológica debidamente actualizada y soportada, cumpliendo con los requisitos de oportunidad, disponibilidad y seguridad.</v>
          </cell>
        </row>
      </sheetData>
      <sheetData sheetId="2" refreshError="1"/>
      <sheetData sheetId="3" refreshError="1"/>
      <sheetData sheetId="4">
        <row r="9">
          <cell r="E9" t="str">
            <v>X</v>
          </cell>
        </row>
      </sheetData>
      <sheetData sheetId="5">
        <row r="11">
          <cell r="F11">
            <v>85</v>
          </cell>
        </row>
      </sheetData>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1"/>
      <sheetName val="ImpactoRiesgoCorrup 2"/>
      <sheetName val="AnálisisRiesgo"/>
      <sheetName val="EvaluaciónRiesgoCorrup 1"/>
      <sheetName val="EvaluaciónRiesgoCorrup 2"/>
      <sheetName val="EvaluaciónRiesgoGestión"/>
      <sheetName val="MapaRiesgos,"/>
      <sheetName val="Anterior"/>
      <sheetName val="MapaRiesgos Gest Recursos Físic"/>
    </sheetNames>
    <sheetDataSet>
      <sheetData sheetId="0"/>
      <sheetData sheetId="1">
        <row r="2">
          <cell r="B2" t="str">
            <v>Gestión de Recursos Físicos</v>
          </cell>
        </row>
        <row r="3">
          <cell r="B3" t="str">
            <v>Brindar el apoyo logístico mediante el suministro de materiales, equipos, elementos y servicios con el fin de proporcionar un ambiente adecuado de trabajo y satisfacer las necesidades de bienes y servicios requeridos para el excelente funcionamiento del IDEAM</v>
          </cell>
        </row>
      </sheetData>
      <sheetData sheetId="2"/>
      <sheetData sheetId="3"/>
      <sheetData sheetId="4"/>
      <sheetData sheetId="5">
        <row r="9">
          <cell r="B9">
            <v>0</v>
          </cell>
        </row>
      </sheetData>
      <sheetData sheetId="6">
        <row r="11">
          <cell r="F11">
            <v>85</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sheetName val="AnálisisRiesgo"/>
      <sheetName val="EvaluaciónRiesgoCorrup"/>
      <sheetName val="EvaluaciónRiesgoGestión"/>
      <sheetName val="MapaRiesgos,"/>
      <sheetName val="Anterior"/>
      <sheetName val="MapaRiesgos Gest Planeación"/>
    </sheetNames>
    <sheetDataSet>
      <sheetData sheetId="0"/>
      <sheetData sheetId="1">
        <row r="2">
          <cell r="B2" t="str">
            <v>Gestión de la Planeación</v>
          </cell>
        </row>
        <row r="3">
          <cell r="B3" t="str">
            <v xml:space="preserve">Coordinar la formulación y hacer el seguimiento de los instrumentos de planeación necesarios para contribuir al cumplimiento de la misión institucional en el marco de las políticas vigentes. </v>
          </cell>
        </row>
      </sheetData>
      <sheetData sheetId="2"/>
      <sheetData sheetId="3"/>
      <sheetData sheetId="4">
        <row r="9">
          <cell r="B9">
            <v>0</v>
          </cell>
        </row>
        <row r="11">
          <cell r="B11">
            <v>0</v>
          </cell>
          <cell r="C11">
            <v>0</v>
          </cell>
          <cell r="D11">
            <v>0</v>
          </cell>
          <cell r="E11">
            <v>0</v>
          </cell>
          <cell r="F11">
            <v>0</v>
          </cell>
          <cell r="G11">
            <v>0</v>
          </cell>
          <cell r="H11">
            <v>0</v>
          </cell>
          <cell r="I11">
            <v>0</v>
          </cell>
          <cell r="J11">
            <v>0</v>
          </cell>
          <cell r="K11">
            <v>0</v>
          </cell>
          <cell r="L11">
            <v>0</v>
          </cell>
          <cell r="M11">
            <v>0</v>
          </cell>
          <cell r="N11">
            <v>0</v>
          </cell>
        </row>
      </sheetData>
      <sheetData sheetId="5">
        <row r="11">
          <cell r="F11">
            <v>85</v>
          </cell>
        </row>
      </sheetData>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ificaciónRiesgos"/>
      <sheetName val="DefiniciónRiesgos"/>
      <sheetName val="ImpactoRiesgoCorrupción"/>
      <sheetName val="AnálisisRiesgos"/>
      <sheetName val="EvaluaciónRiesgos"/>
      <sheetName val="MapaRiesgos,"/>
      <sheetName val="Anterior"/>
      <sheetName val="MapaRiesgos"/>
    </sheetNames>
    <sheetDataSet>
      <sheetData sheetId="0"/>
      <sheetData sheetId="1">
        <row r="11">
          <cell r="A11" t="str">
            <v>Información inconsistente de los bienes de propiedad de la entidad a las auditorias externas e internas. 
Inventarios desactualizados de los funcionarios.</v>
          </cell>
          <cell r="B11" t="str">
            <v>Uso inadecuado de los bienes en custodia de bienes en bodega.</v>
          </cell>
          <cell r="C11" t="str">
            <v>Uso inadecuado de los bienes en custodia del almacen para el  beneficio a terceros.</v>
          </cell>
          <cell r="D11" t="str">
            <v>*Detrimento patrimonial.
*Sanciones disciplinarias por parte de los entes de control.
*Afectación de la imagen de la entidad.</v>
          </cell>
        </row>
        <row r="12">
          <cell r="A12" t="str">
            <v>Incumplimiento al procedimiento A-AR-P0004-PROCEDIMIENTO TRÁMITE DE SINIESTROS V5.</v>
          </cell>
          <cell r="B12" t="str">
            <v>No reposición oportuna de los bienes siniestrados de propiedad del IDEAM.</v>
          </cell>
          <cell r="C12" t="str">
            <v>Inoportuna reclamación y suministro de la información correspondiente al Corredor de Seguros contratado por el IDEAM, para la reposición de los bienes siniestrados que son de propiedad del IDEAM.</v>
          </cell>
          <cell r="D12" t="str">
            <v>Perdida de bienes de propiedad del IDEAM.
Posible detrimento patrimonial.
Investigaciones Disciplinarias.
Investigaciones Admisnitrativas.
Investigaciones Penales.</v>
          </cell>
        </row>
      </sheetData>
      <sheetData sheetId="2">
        <row r="4">
          <cell r="A4" t="str">
            <v>Inoportunidad e insuficiente suministro bienes y servicios requeridos.</v>
          </cell>
          <cell r="B4" t="str">
            <v>X</v>
          </cell>
          <cell r="C4" t="str">
            <v>X</v>
          </cell>
          <cell r="D4"/>
          <cell r="E4"/>
          <cell r="F4" t="str">
            <v>RIESGO DE GESTIÓN</v>
          </cell>
        </row>
        <row r="5">
          <cell r="A5" t="str">
            <v xml:space="preserve">Inoportunidad e inadecuada atención a los trámites de reclamación de sinistros ante la aseguradora. </v>
          </cell>
          <cell r="B5" t="str">
            <v>X</v>
          </cell>
          <cell r="C5"/>
          <cell r="D5" t="str">
            <v>X</v>
          </cell>
          <cell r="E5"/>
          <cell r="F5" t="str">
            <v>RIESGO DE GESTIÓN</v>
          </cell>
        </row>
        <row r="6">
          <cell r="A6" t="str">
            <v>Elaborar estudios previos para la contratación del suministro de materiales, equipos, elementos o servicios que requiera la Entidad,direccionado en beneficio de un tercero  en particular.</v>
          </cell>
          <cell r="B6" t="str">
            <v>x</v>
          </cell>
          <cell r="C6" t="str">
            <v>X</v>
          </cell>
          <cell r="D6" t="str">
            <v>X</v>
          </cell>
          <cell r="E6" t="str">
            <v>X</v>
          </cell>
          <cell r="F6" t="str">
            <v>RIESGO DE CORRUPCIÓN</v>
          </cell>
        </row>
        <row r="7">
          <cell r="A7" t="str">
            <v>asignacion de dinero para compras de bienes y servicios para casos fortuitos y extraordinarios</v>
          </cell>
          <cell r="B7" t="str">
            <v>X</v>
          </cell>
          <cell r="C7" t="str">
            <v>X</v>
          </cell>
          <cell r="D7" t="str">
            <v>X</v>
          </cell>
          <cell r="E7" t="str">
            <v>X</v>
          </cell>
          <cell r="F7" t="str">
            <v>RIESGO DE CORRUPCIÓN</v>
          </cell>
        </row>
        <row r="8">
          <cell r="A8" t="str">
            <v>Certificación fraudulenta de ingresos al instituto incumpliendo con las especificaciones por parte del proveedor.</v>
          </cell>
          <cell r="B8" t="str">
            <v>X</v>
          </cell>
          <cell r="C8" t="str">
            <v>X</v>
          </cell>
          <cell r="D8" t="str">
            <v>X</v>
          </cell>
          <cell r="E8" t="str">
            <v>X</v>
          </cell>
          <cell r="F8" t="str">
            <v>RIESGO DE CORRUPCIÓN</v>
          </cell>
        </row>
        <row r="9">
          <cell r="A9" t="str">
            <v>Uso inadecuado de los bienes en custodia del almacen para el  beneficio a terceros.</v>
          </cell>
          <cell r="B9" t="str">
            <v>X</v>
          </cell>
          <cell r="C9" t="str">
            <v>X</v>
          </cell>
          <cell r="D9" t="str">
            <v>X</v>
          </cell>
          <cell r="E9" t="str">
            <v>X</v>
          </cell>
          <cell r="F9" t="str">
            <v>RIESGO DE CORRUPCIÓN</v>
          </cell>
        </row>
        <row r="10">
          <cell r="A10" t="str">
            <v>Inoportuna reclamación y suministro de la información correspondiente al Corredor de Seguros contratado por el IDEAM, para la reposición de los bienes siniestrados que son de propiedad del IDEAM.</v>
          </cell>
          <cell r="B10" t="str">
            <v>X</v>
          </cell>
          <cell r="C10"/>
          <cell r="D10" t="str">
            <v>X</v>
          </cell>
          <cell r="E10"/>
          <cell r="F10" t="str">
            <v>RIESGO DE GESTIÓN</v>
          </cell>
        </row>
      </sheetData>
      <sheetData sheetId="3"/>
      <sheetData sheetId="4">
        <row r="14">
          <cell r="B14"/>
          <cell r="C14"/>
          <cell r="D14"/>
          <cell r="E14"/>
          <cell r="F14" t="str">
            <v>X</v>
          </cell>
          <cell r="G14"/>
          <cell r="H14"/>
          <cell r="I14"/>
          <cell r="J14"/>
          <cell r="L14" t="str">
            <v>X</v>
          </cell>
          <cell r="M14"/>
        </row>
        <row r="15">
          <cell r="B15"/>
          <cell r="C15"/>
          <cell r="D15" t="str">
            <v>X</v>
          </cell>
          <cell r="E15"/>
          <cell r="F15"/>
          <cell r="G15" t="str">
            <v>X</v>
          </cell>
          <cell r="H15"/>
          <cell r="I15"/>
          <cell r="J15"/>
          <cell r="L15"/>
          <cell r="M15"/>
        </row>
      </sheetData>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R1"/>
      <sheetName val="ImpactoRiesgoCorrup R2"/>
      <sheetName val="AnálisisRiesgo"/>
      <sheetName val="Evalaucion Riesgo R1"/>
      <sheetName val="Evalaucion Riesgo R2"/>
      <sheetName val="EvaluaciónRiesgoGestión"/>
      <sheetName val="MapaRiesgos,"/>
      <sheetName val="Anterior"/>
      <sheetName val="MapaRiesgos Gest Des Talento H"/>
    </sheetNames>
    <sheetDataSet>
      <sheetData sheetId="0"/>
      <sheetData sheetId="1">
        <row r="2">
          <cell r="B2" t="str">
            <v>Gestion del Desarrollo del Talento Humano</v>
          </cell>
        </row>
        <row r="3">
          <cell r="B3" t="str">
            <v xml:space="preserve">Administrar y promover el desarrollo integral del talento humano de la Entidad, a través de la implementación de políticas, planes, programas y acciones que fortalezcan la calidad de vida laboral de los trabajadores y garanticen una mejor prestación de los servicios que ofrece el IDEAM. </v>
          </cell>
        </row>
      </sheetData>
      <sheetData sheetId="2"/>
      <sheetData sheetId="3"/>
      <sheetData sheetId="4"/>
      <sheetData sheetId="5">
        <row r="9">
          <cell r="B9">
            <v>0</v>
          </cell>
        </row>
      </sheetData>
      <sheetData sheetId="6">
        <row r="11">
          <cell r="F11">
            <v>85</v>
          </cell>
        </row>
      </sheetData>
      <sheetData sheetId="7">
        <row r="11">
          <cell r="F11">
            <v>50</v>
          </cell>
        </row>
      </sheetData>
      <sheetData sheetId="8"/>
      <sheetData sheetId="9"/>
      <sheetData sheetId="10"/>
      <sheetData sheetId="1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ificaciónRiesgos"/>
      <sheetName val="DefiniciónRiesgos"/>
      <sheetName val="ImpactoRiesgoCorrupción"/>
      <sheetName val="AnálisisRiesgos"/>
      <sheetName val="EvaluaciónRiesgos"/>
      <sheetName val="MapaRiesgos,"/>
      <sheetName val="Anterior"/>
      <sheetName val="MapaRiesgos"/>
    </sheetNames>
    <sheetDataSet>
      <sheetData sheetId="0"/>
      <sheetData sheetId="1">
        <row r="6">
          <cell r="A6" t="str">
            <v xml:space="preserve">1. Abuso extralimitación de las funciones
2. Incumplimiento del procedimiento
establecido para la selección de personal. 
3. Incumplimiento de los requisitos para la posesión establecidos por la norma.
</v>
          </cell>
          <cell r="B6" t="str">
            <v xml:space="preserve">Uso del poder para la vinculación de personal que no cumple los requisitos establecidos en el manual especifico de funciones.     </v>
          </cell>
          <cell r="C6" t="str">
            <v>Realizar posesiones o encargos sin cumplir con los requisitos establecidos en el Manual de Funciones y de Competencias; o sin que se surta el procedimiento establecido por Ley para la provisión de empleos de carrera administrativa y de libre nombramiento.</v>
          </cell>
          <cell r="D6" t="str">
            <v>1. Investigaciones de los organismos de control.
2. Falta de credibilidad en los procesos de la Entidad.
3.Sanciones disciplinarias, fiscales y/o penales.</v>
          </cell>
        </row>
      </sheetData>
      <sheetData sheetId="2">
        <row r="4">
          <cell r="A4" t="str">
            <v>Realizar posesiones o encargos sin cumplir con los requisitos establecidos en el Manual de Funciones y de Competencias; o sin que se surta el procedimiento establecido por Ley para la provisión de empleos de carrera administrativa y de libre nombramiento.</v>
          </cell>
          <cell r="B4" t="str">
            <v>x</v>
          </cell>
          <cell r="C4" t="str">
            <v>x</v>
          </cell>
          <cell r="D4" t="str">
            <v>x</v>
          </cell>
          <cell r="E4" t="str">
            <v>X</v>
          </cell>
          <cell r="F4" t="str">
            <v>RIESGO DE CORRUPCIÓN</v>
          </cell>
        </row>
        <row r="5">
          <cell r="A5" t="str">
            <v xml:space="preserve">Emisión de documentos irregulares, certificaciones laborales con información incorrecta en beneficio del solicitante. </v>
          </cell>
          <cell r="B5"/>
          <cell r="C5"/>
          <cell r="D5"/>
          <cell r="E5" t="str">
            <v>X</v>
          </cell>
          <cell r="F5" t="str">
            <v>RIESGO DE CORRUPCIÓN</v>
          </cell>
        </row>
        <row r="6">
          <cell r="A6" t="str">
            <v xml:space="preserve">Omitir o registrar inoportuna y/o incorrectamente cualquier novedad relacionada con los funcionarios del Instituto en el Sistema PERNO </v>
          </cell>
          <cell r="B6" t="str">
            <v>x</v>
          </cell>
          <cell r="C6" t="str">
            <v>x</v>
          </cell>
          <cell r="D6" t="str">
            <v>x</v>
          </cell>
          <cell r="E6" t="str">
            <v>X</v>
          </cell>
          <cell r="F6" t="str">
            <v>RIESGO DE CORRUPCIÓN</v>
          </cell>
        </row>
        <row r="7">
          <cell r="A7" t="str">
            <v>Se puede llegar a presentar Incumplimiento de los planes institucionales de bienestar e incentivos, capacitación y/o sistema de seguridad y salud en el trabajo, dirigidos a los servidores públicos de la entidad.</v>
          </cell>
          <cell r="B7"/>
          <cell r="C7"/>
          <cell r="D7"/>
          <cell r="E7"/>
          <cell r="F7" t="str">
            <v>RIESGO DE GESTIÓN</v>
          </cell>
        </row>
        <row r="8">
          <cell r="A8" t="str">
            <v xml:space="preserve">Se puede llegar a presentar la eventualidad de que el  jefe inmediato y el funcionario no generen el proceso de evaluación dentro de las fechas establecidas.
</v>
          </cell>
          <cell r="B8"/>
          <cell r="C8"/>
          <cell r="D8"/>
          <cell r="E8"/>
          <cell r="F8" t="str">
            <v>RIESGO DE GESTIÓN</v>
          </cell>
        </row>
        <row r="9">
          <cell r="A9" t="str">
            <v>El proceso de los Acuerdos de Gestión no cumpla con los lineamientos, términos y
condiciones establecidos en la normatividad vigente sobre la materia y el procedimiento
establecido por la entidad para tal fin.</v>
          </cell>
          <cell r="B9" t="str">
            <v>x</v>
          </cell>
          <cell r="C9"/>
          <cell r="D9"/>
          <cell r="E9"/>
          <cell r="F9" t="str">
            <v>RIESGO DE GESTIÓN</v>
          </cell>
        </row>
      </sheetData>
      <sheetData sheetId="3"/>
      <sheetData sheetId="4">
        <row r="9">
          <cell r="B9"/>
          <cell r="C9" t="str">
            <v>X</v>
          </cell>
          <cell r="D9"/>
          <cell r="E9"/>
          <cell r="F9"/>
          <cell r="G9"/>
          <cell r="H9" t="str">
            <v>X</v>
          </cell>
          <cell r="I9"/>
          <cell r="J9"/>
          <cell r="L9"/>
          <cell r="M9" t="str">
            <v>X</v>
          </cell>
        </row>
      </sheetData>
      <sheetData sheetId="5"/>
      <sheetData sheetId="6"/>
      <sheetData sheetId="7"/>
      <sheetData sheetId="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ificaciónRiesgos"/>
      <sheetName val="DefiniciónRiesgos"/>
      <sheetName val="ImpactoRiesgoCorrupción"/>
      <sheetName val="AnálisisRiesgos"/>
      <sheetName val="EvaluaciónRiesgos"/>
      <sheetName val="MapaRiesgos,"/>
      <sheetName val="Anterior"/>
      <sheetName val="MapaRiesgos"/>
    </sheetNames>
    <sheetDataSet>
      <sheetData sheetId="0"/>
      <sheetData sheetId="1">
        <row r="7">
          <cell r="A7" t="str">
            <v xml:space="preserve">1. Ausencia y/o aplicación de controles en la cadena de custodia 
2. Falta de recursos   tecnológicos y humanos para el manejo de las historias laborales   
3.No digitalización de historias laborales                                                   
4. Manipulación inadecuada de los usuarios.
</v>
          </cell>
          <cell r="B7" t="str">
            <v>Manipulación e inadecuado manejo de información de las historias
laborales de los funcionarios para beneficio de
un tercero.</v>
          </cell>
          <cell r="C7" t="str">
            <v xml:space="preserve">Emisión de documentos irregulares, certificaciones laborales con información incorrecta en beneficio del solicitante. </v>
          </cell>
          <cell r="D7" t="str">
            <v xml:space="preserve">
3. Sanciones disciplinarias
4. Perdida de la  información y falta de credibilidad en los procesos de la Entidad
</v>
          </cell>
        </row>
        <row r="8">
          <cell r="A8" t="str">
            <v xml:space="preserve">
 1. Desconocimiento de las normas y del procedimiento       
2. Error en la parametrización de los conceptos salariales y de descuentos para la liquidación de nómina    
3. Fallas en el aplicativo PERNO del Sistema de Personal y Nómina del Instituto.
4. Demoras en el trámite de los actos administrativos. 
5.. Que los datos incluidos en la nómina no correspondan al soporte enviado o al funcionario, y se genere un error en el valor cancelado mensual.
6. Error humano
</v>
          </cell>
          <cell r="B8" t="str">
            <v xml:space="preserve">Manipulación en la liquidación de la nómina e inconsistencia en la información de novedades de personal. </v>
          </cell>
          <cell r="C8" t="str">
            <v xml:space="preserve">Omitir o registrar inoportuna y/o incorrectamente cualquier novedad relacionada con los funcionarios del Instituto en el Sistema PERNO </v>
          </cell>
          <cell r="D8" t="str">
            <v xml:space="preserve">    
 1. Investigaciones disciplinarias  
 2. Demandas y sanciones disciplinarias  
3. Pagos indebidos  
4. Afectación de la imagen de la entidad
 5. Peticiones, quejas, reclamos y derechos por parte de los afectados
6. Detrimento patrimonial</v>
          </cell>
        </row>
        <row r="9">
          <cell r="A9" t="str">
            <v xml:space="preserve">1. Falta de estrategias para comunicar el desarrollo y resultados de actividades.        
3. Insuficiente recursos para adelantar las necesidades de capacitación y bienestar.      
4. Falta de participación y asistencia a las diferentes actividades establecidas en los planes y programas. </v>
          </cell>
          <cell r="B9" t="str">
            <v>Incumplimiento en la ejecución de los planes y programas de ley para la gestión del Talento Humano.</v>
          </cell>
          <cell r="C9" t="str">
            <v>Se puede llegar a presentar Incumplimiento de los planes institucionales de bienestar e incentivos, capacitación y/o sistema de seguridad y salud en el trabajo, dirigidos a los servidores públicos de la entidad.</v>
          </cell>
          <cell r="D9" t="str">
            <v xml:space="preserve">1. Afecta calidad del servicio.   
2. Investigaciones disciplinarias  </v>
          </cell>
        </row>
        <row r="10">
          <cell r="A10" t="str">
            <v xml:space="preserve"> 1. Poco conocimiento en el área de desempeño, poca destreza y habilidades pasa desempeñar funciones.
2. No fijación de compromisos laborales 
3.Favorecimiento de intereses particulares.
 4. No solicitar la evaluación por parte del evaluado dentro de los términos
</v>
          </cell>
          <cell r="B10" t="str">
            <v xml:space="preserve">No realizar la evaluación de desempeño laboral dentro de los plazos establecidos por la ley </v>
          </cell>
          <cell r="C10" t="str">
            <v xml:space="preserve">Se puede llegar a presentar la eventualidad de que el  jefe inmediato y el funcionario no generen el proceso de evaluación dentro de las fechas establecidas.
</v>
          </cell>
          <cell r="D10" t="str">
            <v xml:space="preserve"> 1. Falta disciplinaria 
2. Sanciones </v>
          </cell>
        </row>
        <row r="11">
          <cell r="A11" t="str">
            <v>1. No evaluar dentro de las fechas y términos establecidos.
2.  Incumplir los lineamientos, términos y
condiciones establecidos en la normatividad vigente sobre la materia.</v>
          </cell>
          <cell r="B11" t="str">
            <v>Incumplimiento de la evaluación de los acuerdos  gestión</v>
          </cell>
          <cell r="C11" t="str">
            <v>El proceso de los Acuerdos de Gestión no cumpla con los lineamientos, términos y
condiciones establecidos en la normatividad vigente sobre la materia y el procedimiento
establecido por la entidad para tal fin.</v>
          </cell>
          <cell r="D11" t="str">
            <v xml:space="preserve"> 1. Falta disciplinaria 
2. Sanciones </v>
          </cell>
        </row>
      </sheetData>
      <sheetData sheetId="2">
        <row r="4">
          <cell r="A4" t="str">
            <v>Realizar posesiones o encargos sin cumplir con los requisitos establecidos en el Manual de Funciones y de Competencias; o sin que se surta el procedimiento establecido por Ley para la provisión de empleos de carrera administrativa y de libre nombramiento.</v>
          </cell>
          <cell r="B4" t="str">
            <v>x</v>
          </cell>
          <cell r="C4" t="str">
            <v>x</v>
          </cell>
          <cell r="D4" t="str">
            <v>x</v>
          </cell>
          <cell r="E4" t="str">
            <v>X</v>
          </cell>
          <cell r="F4" t="str">
            <v>RIESGO DE CORRUPCIÓN</v>
          </cell>
        </row>
        <row r="5">
          <cell r="A5" t="str">
            <v xml:space="preserve">Emisión de documentos irregulares, certificaciones laborales con información incorrecta en beneficio del solicitante. </v>
          </cell>
          <cell r="B5"/>
          <cell r="C5"/>
          <cell r="D5"/>
          <cell r="E5" t="str">
            <v>X</v>
          </cell>
          <cell r="F5" t="str">
            <v>RIESGO DE CORRUPCIÓN</v>
          </cell>
        </row>
        <row r="6">
          <cell r="A6" t="str">
            <v xml:space="preserve">Omitir o registrar inoportuna y/o incorrectamente cualquier novedad relacionada con los funcionarios del Instituto en el Sistema PERNO </v>
          </cell>
          <cell r="B6" t="str">
            <v>x</v>
          </cell>
          <cell r="C6" t="str">
            <v>x</v>
          </cell>
          <cell r="D6" t="str">
            <v>x</v>
          </cell>
          <cell r="E6" t="str">
            <v>X</v>
          </cell>
          <cell r="F6" t="str">
            <v>RIESGO DE CORRUPCIÓN</v>
          </cell>
        </row>
        <row r="7">
          <cell r="A7" t="str">
            <v>Se puede llegar a presentar Incumplimiento de los planes institucionales de bienestar e incentivos, capacitación y/o sistema de seguridad y salud en el trabajo, dirigidos a los servidores públicos de la entidad.</v>
          </cell>
          <cell r="B7"/>
          <cell r="C7"/>
          <cell r="D7"/>
          <cell r="E7"/>
          <cell r="F7" t="str">
            <v>RIESGO DE GESTIÓN</v>
          </cell>
        </row>
        <row r="8">
          <cell r="A8" t="str">
            <v xml:space="preserve">Se puede llegar a presentar la eventualidad de que el  jefe inmediato y el funcionario no generen el proceso de evaluación dentro de las fechas establecidas.
</v>
          </cell>
          <cell r="B8"/>
          <cell r="C8"/>
          <cell r="D8"/>
          <cell r="E8"/>
          <cell r="F8" t="str">
            <v>RIESGO DE GESTIÓN</v>
          </cell>
        </row>
        <row r="9">
          <cell r="A9" t="str">
            <v>El proceso de los Acuerdos de Gestión no cumpla con los lineamientos, términos y
condiciones establecidos en la normatividad vigente sobre la materia y el procedimiento
establecido por la entidad para tal fin.</v>
          </cell>
          <cell r="B9" t="str">
            <v>x</v>
          </cell>
          <cell r="C9"/>
          <cell r="D9"/>
          <cell r="E9"/>
          <cell r="F9" t="str">
            <v>RIESGO DE GESTIÓN</v>
          </cell>
        </row>
      </sheetData>
      <sheetData sheetId="3"/>
      <sheetData sheetId="4">
        <row r="10">
          <cell r="B10"/>
          <cell r="C10"/>
          <cell r="D10" t="str">
            <v>X</v>
          </cell>
          <cell r="E10"/>
          <cell r="F10"/>
          <cell r="G10"/>
          <cell r="H10"/>
          <cell r="I10" t="str">
            <v>X</v>
          </cell>
          <cell r="J10"/>
          <cell r="L10"/>
          <cell r="M10" t="str">
            <v>X</v>
          </cell>
        </row>
        <row r="11">
          <cell r="B11"/>
          <cell r="C11" t="str">
            <v>X</v>
          </cell>
          <cell r="D11"/>
          <cell r="E11"/>
          <cell r="F11"/>
          <cell r="G11"/>
          <cell r="H11" t="str">
            <v>X</v>
          </cell>
          <cell r="I11"/>
          <cell r="J11"/>
          <cell r="L11"/>
          <cell r="M11" t="str">
            <v>X</v>
          </cell>
        </row>
        <row r="12">
          <cell r="B12"/>
          <cell r="C12"/>
          <cell r="D12"/>
          <cell r="E12"/>
          <cell r="F12" t="str">
            <v>X</v>
          </cell>
          <cell r="G12"/>
          <cell r="H12"/>
          <cell r="I12" t="str">
            <v>X</v>
          </cell>
          <cell r="J12"/>
          <cell r="L12"/>
          <cell r="M12"/>
        </row>
        <row r="13">
          <cell r="B13"/>
          <cell r="C13"/>
          <cell r="D13" t="str">
            <v>X</v>
          </cell>
          <cell r="E13"/>
          <cell r="F13"/>
          <cell r="G13"/>
          <cell r="H13"/>
          <cell r="I13" t="str">
            <v>X</v>
          </cell>
          <cell r="J13"/>
          <cell r="L13"/>
          <cell r="M13"/>
        </row>
        <row r="14">
          <cell r="B14"/>
          <cell r="C14"/>
          <cell r="D14" t="str">
            <v>X</v>
          </cell>
          <cell r="E14"/>
          <cell r="F14"/>
          <cell r="G14"/>
          <cell r="H14"/>
          <cell r="I14" t="str">
            <v>X</v>
          </cell>
          <cell r="J14"/>
          <cell r="L14"/>
          <cell r="M14"/>
        </row>
      </sheetData>
      <sheetData sheetId="5"/>
      <sheetData sheetId="6"/>
      <sheetData sheetId="7"/>
      <sheetData sheetId="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ificaciónRiesgos"/>
      <sheetName val="DefiniciónRiesgos"/>
      <sheetName val="ImpactoRiesgoCorrupción"/>
      <sheetName val="AnálisisRiesgos"/>
      <sheetName val="EvaluaciónRiesgos"/>
      <sheetName val="MapaRiesgos,"/>
      <sheetName val="Anterior"/>
      <sheetName val="MapaRiesgos"/>
    </sheetNames>
    <sheetDataSet>
      <sheetData sheetId="0"/>
      <sheetData sheetId="1">
        <row r="3">
          <cell r="B3" t="str">
            <v>Coordinar la planeación, implementación y seguimiento a la mejora del Sistema de Gestión Integrado del IDEAM, en cumplimiento de los objetivos institucionales.</v>
          </cell>
        </row>
        <row r="6">
          <cell r="A6" t="str">
            <v xml:space="preserve">Falta por actualizar la documentación del SGI, con el objetivo de establecer lineamientos y parámetros claros para la implementación de los mismos. </v>
          </cell>
          <cell r="B6" t="str">
            <v xml:space="preserve"> Uso de documentación obsoleta</v>
          </cell>
          <cell r="C6" t="str">
            <v>▪Deficiente uso de la documentacion actualizada para cada proceso 
▪Los funcionarios no siguen de forma estricta la documentacion relacionada con el proceso</v>
          </cell>
          <cell r="D6" t="str">
            <v>▪Retroceso en las actividades ▪Duplicidad de la informacion</v>
          </cell>
        </row>
      </sheetData>
      <sheetData sheetId="2">
        <row r="4">
          <cell r="A4" t="str">
            <v>▪Deficiente uso de la documentacion actualizada para cada proceso 
▪Los funcionarios no siguen de forma estricta la documentacion relacionada con el proceso</v>
          </cell>
          <cell r="B4"/>
          <cell r="C4"/>
          <cell r="D4"/>
          <cell r="E4"/>
          <cell r="F4" t="str">
            <v>RIESGO DE GESTIÓN</v>
          </cell>
        </row>
        <row r="5">
          <cell r="A5"/>
          <cell r="B5"/>
          <cell r="C5"/>
          <cell r="D5"/>
          <cell r="E5"/>
          <cell r="F5"/>
        </row>
        <row r="6">
          <cell r="A6"/>
          <cell r="B6"/>
          <cell r="C6"/>
          <cell r="D6"/>
          <cell r="E6"/>
          <cell r="F6"/>
        </row>
        <row r="7">
          <cell r="A7"/>
          <cell r="B7"/>
          <cell r="C7"/>
          <cell r="D7"/>
          <cell r="E7"/>
          <cell r="F7"/>
        </row>
        <row r="8">
          <cell r="A8"/>
          <cell r="B8"/>
          <cell r="C8"/>
          <cell r="D8"/>
          <cell r="E8"/>
          <cell r="F8"/>
        </row>
        <row r="9">
          <cell r="A9"/>
          <cell r="B9"/>
          <cell r="C9"/>
          <cell r="D9"/>
          <cell r="E9"/>
          <cell r="F9"/>
        </row>
      </sheetData>
      <sheetData sheetId="3"/>
      <sheetData sheetId="4">
        <row r="9">
          <cell r="B9"/>
          <cell r="C9"/>
          <cell r="D9" t="str">
            <v>X</v>
          </cell>
          <cell r="E9"/>
          <cell r="F9"/>
          <cell r="G9"/>
          <cell r="H9"/>
          <cell r="I9"/>
          <cell r="J9" t="str">
            <v>X</v>
          </cell>
          <cell r="L9"/>
          <cell r="M9"/>
        </row>
      </sheetData>
      <sheetData sheetId="5"/>
      <sheetData sheetId="6"/>
      <sheetData sheetId="7"/>
      <sheetData sheetId="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R1"/>
      <sheetName val="ImpactoRiesgoCorrupR2"/>
      <sheetName val="AnálisisRiesgo"/>
      <sheetName val="EvaluaciónRiesgoCorrupR1"/>
      <sheetName val="EvaluaciónRiesgoCorrupR2"/>
      <sheetName val="MapaRiesgos,"/>
      <sheetName val="Anterior"/>
      <sheetName val="EvaluaciónRiesgoGestión"/>
      <sheetName val="MapaRiesgo Gest Cont Discip Int"/>
    </sheetNames>
    <sheetDataSet>
      <sheetData sheetId="0"/>
      <sheetData sheetId="1">
        <row r="2">
          <cell r="B2" t="str">
            <v>Gestión de Control Disciplinario Interno</v>
          </cell>
        </row>
        <row r="3">
          <cell r="B3" t="str">
            <v>Investigar y fallar sobre presuntas conductas de los servidores públicos del Instituto de conformidad con las disposiciones establecidas en el Código Disciplinario Único y normas concordantes</v>
          </cell>
        </row>
      </sheetData>
      <sheetData sheetId="2"/>
      <sheetData sheetId="3"/>
      <sheetData sheetId="4"/>
      <sheetData sheetId="5">
        <row r="9">
          <cell r="B9">
            <v>0</v>
          </cell>
        </row>
      </sheetData>
      <sheetData sheetId="6">
        <row r="11">
          <cell r="F11">
            <v>85</v>
          </cell>
        </row>
      </sheetData>
      <sheetData sheetId="7"/>
      <sheetData sheetId="8"/>
      <sheetData sheetId="9"/>
      <sheetData sheetId="10"/>
      <sheetData sheetId="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ificaciónRiesgos"/>
      <sheetName val="DefiniciónRiesgos"/>
      <sheetName val="ImpactoRiesgoCorrupción"/>
      <sheetName val="AnálisisRiesgos"/>
      <sheetName val="EvaluaciónRiesgos"/>
      <sheetName val="MapaRiesgos,"/>
      <sheetName val="Anterior"/>
      <sheetName val="MapaRiesgos"/>
    </sheetNames>
    <sheetDataSet>
      <sheetData sheetId="0"/>
      <sheetData sheetId="1">
        <row r="7">
          <cell r="A7" t="str">
            <v xml:space="preserve">Falta de ética y profesionalismo del funcionario instructor. </v>
          </cell>
        </row>
        <row r="8">
          <cell r="A8" t="str">
            <v xml:space="preserve">Falta de ética y profesionalismo del funcionario instructor ó de la Primera Instancia Disciplinaria según el caso.   </v>
          </cell>
          <cell r="B8" t="str">
            <v>No declararse impedido cuando exista el deber jurídico de hacerlo, con el ánimo de favorecer  a los sujetos procesales.</v>
          </cell>
          <cell r="C8" t="str">
            <v>En caso de darse algunas de las causales contenidas en el Art. 84 del CDU, el servidor público que este adelantando la actuación disciplinaria ó que le competa fallar la misma, deberá declararse impedido</v>
          </cell>
          <cell r="D8" t="str">
            <v xml:space="preserve">Incursión en Falta Disciplinaria Gravísima, al tenor de lo previsto en el Art. 48 No. 17 del CDU. </v>
          </cell>
        </row>
      </sheetData>
      <sheetData sheetId="2">
        <row r="4">
          <cell r="A4" t="str">
            <v>Decretar de oficio nulidades o prescripción de la acción disciplinaria en los procesos adelantados por el grupo</v>
          </cell>
          <cell r="B4" t="str">
            <v>X</v>
          </cell>
          <cell r="C4" t="str">
            <v>X</v>
          </cell>
          <cell r="D4" t="str">
            <v>X</v>
          </cell>
          <cell r="E4"/>
          <cell r="F4" t="str">
            <v>RIESGO DE GESTIÓN</v>
          </cell>
        </row>
        <row r="5">
          <cell r="A5" t="str">
            <v xml:space="preserve">Proyectar fallo en forma contraria a las pruebas que obran dentro de cada proceso con el fin de favorecer al indagado o al investigado </v>
          </cell>
          <cell r="B5" t="str">
            <v>X</v>
          </cell>
          <cell r="C5" t="str">
            <v>X</v>
          </cell>
          <cell r="D5" t="str">
            <v>X</v>
          </cell>
          <cell r="E5" t="str">
            <v>X</v>
          </cell>
          <cell r="F5" t="str">
            <v>RIESGO DE CORRUPCIÓN</v>
          </cell>
        </row>
        <row r="6">
          <cell r="A6" t="str">
            <v>En caso de darse algunas de las causales contenidas en el Art. 84 del CDU, el servidor público que este adelantando la actuación disciplinaria ó que le competa fallar la misma, deberá declararse impedido</v>
          </cell>
          <cell r="B6" t="str">
            <v>X</v>
          </cell>
          <cell r="C6" t="str">
            <v>X</v>
          </cell>
          <cell r="D6" t="str">
            <v>X</v>
          </cell>
          <cell r="E6" t="str">
            <v>X</v>
          </cell>
          <cell r="F6" t="str">
            <v>RIESGO DE CORRUPCIÓN</v>
          </cell>
        </row>
        <row r="7">
          <cell r="A7" t="str">
            <v>, so pena de incurrir  en Falta Disciplinaria Gravísima.</v>
          </cell>
          <cell r="B7"/>
          <cell r="C7"/>
          <cell r="D7"/>
          <cell r="E7"/>
          <cell r="F7" t="str">
            <v>RIESGO DE GESTIÓN</v>
          </cell>
        </row>
        <row r="8">
          <cell r="A8"/>
          <cell r="B8"/>
          <cell r="C8"/>
          <cell r="D8"/>
          <cell r="E8"/>
          <cell r="F8"/>
        </row>
        <row r="9">
          <cell r="A9"/>
          <cell r="B9"/>
          <cell r="C9"/>
          <cell r="D9"/>
          <cell r="E9"/>
          <cell r="F9"/>
        </row>
      </sheetData>
      <sheetData sheetId="3"/>
      <sheetData sheetId="4">
        <row r="10">
          <cell r="B10"/>
        </row>
        <row r="11">
          <cell r="B11"/>
          <cell r="C11"/>
          <cell r="D11"/>
          <cell r="E11"/>
          <cell r="F11" t="str">
            <v>X</v>
          </cell>
          <cell r="G11"/>
          <cell r="H11" t="str">
            <v>X</v>
          </cell>
          <cell r="I11"/>
          <cell r="J11"/>
          <cell r="L11"/>
          <cell r="M11" t="str">
            <v>X</v>
          </cell>
        </row>
      </sheetData>
      <sheetData sheetId="5"/>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R1"/>
      <sheetName val="ImpactoRiesgoCorrupR2"/>
      <sheetName val="ImpactoRiesgoCorrupR3"/>
      <sheetName val="ImpactoRiesgoCorrupR4"/>
      <sheetName val="AnálisisRiesgo"/>
      <sheetName val="EvaluaciónRiesgoCorrupR1"/>
      <sheetName val="EvaluaciónRiesgoCorrupR2"/>
      <sheetName val="MapaRiesgos,"/>
      <sheetName val="Anterior"/>
      <sheetName val="EvaluaciónRiesgoCorrupR3"/>
      <sheetName val="EvaluaciónRiesgoCorrupR4"/>
      <sheetName val="EvaluaciónRiesgoGestión"/>
      <sheetName val="MapaRiesgos Gest Mejoram Contin"/>
    </sheetNames>
    <sheetDataSet>
      <sheetData sheetId="0" refreshError="1"/>
      <sheetData sheetId="1" refreshError="1">
        <row r="2">
          <cell r="B2" t="str">
            <v>Gestión del Mejoramiento Continuo</v>
          </cell>
        </row>
        <row r="3">
          <cell r="B3" t="str">
            <v xml:space="preserve">Evaluar de forma autónoma, objetiva e independiente el funcionamiento del Sistema Integrado de Gestión del IDEAM para el cumplimiento de  los objetivos y metas, a través de la realización de auditorías, seguimientos y verificaciones a las diferentes áreas, procesos, planes y/o proyectos, formulando recomendaciones para contribuir al mejoramiento continuo y al fortalecimiento institucional </v>
          </cell>
        </row>
      </sheetData>
      <sheetData sheetId="2" refreshError="1"/>
      <sheetData sheetId="3" refreshError="1"/>
      <sheetData sheetId="4" refreshError="1"/>
      <sheetData sheetId="5" refreshError="1"/>
      <sheetData sheetId="6" refreshError="1"/>
      <sheetData sheetId="7" refreshError="1"/>
      <sheetData sheetId="8" refreshError="1">
        <row r="11">
          <cell r="F11">
            <v>55</v>
          </cell>
        </row>
      </sheetData>
      <sheetData sheetId="9" refreshError="1">
        <row r="11">
          <cell r="F11">
            <v>85</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sheetName val="AnálisisRiesgo"/>
      <sheetName val="EvaluaciónRiesgoCorrup"/>
      <sheetName val="EvaluaciónRiesgoGestión"/>
      <sheetName val="MapaRiesgos,"/>
      <sheetName val="Anterior"/>
      <sheetName val="MapaRiesgos Gener datos e inf "/>
    </sheetNames>
    <sheetDataSet>
      <sheetData sheetId="0"/>
      <sheetData sheetId="1">
        <row r="2">
          <cell r="B2" t="str">
            <v>Generación de Datos e Información Hidrometeorológica y Ambiental para la toma de decisiones</v>
          </cell>
        </row>
        <row r="3">
          <cell r="B3" t="str">
            <v>Generar datos e información hidrometeorologica y ambiental que apoyen la investigación y el conocimiento como soporte para la toma de decisiones</v>
          </cell>
        </row>
      </sheetData>
      <sheetData sheetId="2"/>
      <sheetData sheetId="3"/>
      <sheetData sheetId="4">
        <row r="9">
          <cell r="B9">
            <v>0</v>
          </cell>
        </row>
      </sheetData>
      <sheetData sheetId="5">
        <row r="11">
          <cell r="F11">
            <v>85</v>
          </cell>
        </row>
      </sheetData>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ificaciónRiesgos"/>
      <sheetName val="DefiniciónRiesgos"/>
      <sheetName val="ImpactoRiesgoCorrupción"/>
      <sheetName val="AnálisisRiesgos"/>
      <sheetName val="EvaluaciónRiesgos"/>
      <sheetName val="MapaRiesgos,"/>
      <sheetName val="Anterior"/>
      <sheetName val="MapaRiesgos"/>
    </sheetNames>
    <sheetDataSet>
      <sheetData sheetId="0" refreshError="1"/>
      <sheetData sheetId="1" refreshError="1">
        <row r="6">
          <cell r="A6" t="str">
            <v>*Fallas en la planificación de adquisición, mantenimiento y monitoreo. 
* Falta de papeleria técnica e insumos.
* Falta de plan de contigencia de los observadores voluntarios en algunas fechas (vacaciones, festivos o enfermedad).
*Falta de plan de contigencia para reacción imediata en estaciones fuera de servicio. 
*Orden público
*Falla en los equipos.
*Observador voluntario desmotivado.
*Personal técnico insufiente para labores de campo.</v>
          </cell>
          <cell r="B6" t="str">
            <v>Perdida de continuidad de la información</v>
          </cell>
          <cell r="C6" t="str">
            <v>La información no es continua, de acuerdo con el uso de la información.</v>
          </cell>
          <cell r="D6" t="str">
            <v>*Sanciones 
*Toma de decisiones desacertadas
*Perdida de imagen institucional y credibilidad del Instituto 
*Presentacion de información incompleta
*Limitación en el acceso de la información institucional
*Incumplimiento a principios y exigencias de la politica institucional
*No generación de conocimiento base de investigaciones 
*¨Pérdida de carácter oficial de la información. 
*Limitación y capacidad para la generación de información.</v>
          </cell>
        </row>
        <row r="7">
          <cell r="A7" t="str">
            <v>*Fallas en la planificacion de adquisicion, mantenimiento y monitoreo. 
*Incumplimientro de la normatividad.
*Suministro inoportuno de instrumentos e insumos para generación de información Hidrometeorológica.
*Debilidades en la instalacion y mantenimiento de  los instrumentos de medición y estructuras requeridas.
*Fallas en la captura, tratamiento y almacenamiento de datos hidrometeorologicos y ambientales 
*No recolección o entrega de datos por parte del observador voluntario.
*Debilidades en la adquisicion y mantenimiento de  los equipos necesarios para el monitoreo de variables Hidrológicas, Meteorológicas y Ambientales.
*Observador voluntario desmotivado.
*Falta de personal idoneo para la captura, procesamiento y verificación de datos.
*Falta de calibración de equipos.</v>
          </cell>
          <cell r="B7" t="str">
            <v xml:space="preserve">Generación de datos hidrometereologicos y ambientales inexactos e inoportunos </v>
          </cell>
          <cell r="C7" t="str">
            <v xml:space="preserve">Emisión de información por parte del IDEAM inadecuada que no soporte la adopción de decisiones acertadas. </v>
          </cell>
          <cell r="D7" t="str">
            <v xml:space="preserve">*Sanciones 
*Toma de decisiones desacertadas
*Perdida de imagen institucional y credibilidad del Instituto 
*Presentacion de informacion incompleta
*Limitación en el acceso de la informacion institucional
*Incumplimiento a principios y exigencias de la politica institucional
*No generación de conocimiento base de investigaciones </v>
          </cell>
        </row>
        <row r="8">
          <cell r="A8" t="str">
            <v>Tiempo de resago de información en los procesos de verificación y validación.
Deficiencia en los procesos y procedimientos para la gestión de datos e información.</v>
          </cell>
          <cell r="B8" t="str">
            <v>Suministro información hidrometeorológica y ambiental para beneficio particular.</v>
          </cell>
          <cell r="C8" t="str">
            <v>Suministro por parte de los funcionarios no autorizados de información hidrometeorológica y ambiental por fuera de los canales establecidos para tal fin, para beneficio particular.</v>
          </cell>
          <cell r="D8" t="str">
            <v xml:space="preserve">Divulgación de información sin verificación y validación.
Procesos disciplinarios.
Acciones legales contra el Instituto .  
Perdida de credibilidad del Instituto. </v>
          </cell>
        </row>
      </sheetData>
      <sheetData sheetId="2" refreshError="1">
        <row r="4">
          <cell r="A4" t="str">
            <v>La información no es continua, de acuerdo con el uso de la información.</v>
          </cell>
          <cell r="B4">
            <v>0</v>
          </cell>
          <cell r="C4">
            <v>0</v>
          </cell>
          <cell r="D4">
            <v>0</v>
          </cell>
          <cell r="E4">
            <v>0</v>
          </cell>
          <cell r="F4" t="str">
            <v>RIESGO DE GESTIÓN</v>
          </cell>
        </row>
        <row r="5">
          <cell r="A5" t="str">
            <v xml:space="preserve">Emisión de información por parte del IDEAM inadecuada que no soporte la adopción de decisiones acertadas. </v>
          </cell>
          <cell r="B5">
            <v>0</v>
          </cell>
          <cell r="C5">
            <v>0</v>
          </cell>
          <cell r="D5">
            <v>0</v>
          </cell>
          <cell r="E5">
            <v>0</v>
          </cell>
          <cell r="F5" t="str">
            <v>RIESGO DE GESTIÓN</v>
          </cell>
        </row>
        <row r="6">
          <cell r="A6" t="str">
            <v>Suministro por parte de los funcionarios no autorizados de información hidrometeorológica y ambiental por fuera de los canales establecidos para tal fin, para beneficio particular.</v>
          </cell>
          <cell r="B6" t="str">
            <v>X</v>
          </cell>
          <cell r="C6" t="str">
            <v>X</v>
          </cell>
          <cell r="D6" t="str">
            <v>X</v>
          </cell>
          <cell r="E6" t="str">
            <v>X</v>
          </cell>
          <cell r="F6" t="str">
            <v>RIESGO DE CORRUPCIÓN</v>
          </cell>
        </row>
        <row r="7">
          <cell r="A7"/>
          <cell r="B7">
            <v>0</v>
          </cell>
          <cell r="C7">
            <v>0</v>
          </cell>
          <cell r="D7">
            <v>0</v>
          </cell>
          <cell r="E7">
            <v>0</v>
          </cell>
          <cell r="F7"/>
        </row>
        <row r="8">
          <cell r="A8"/>
          <cell r="B8">
            <v>0</v>
          </cell>
          <cell r="C8">
            <v>0</v>
          </cell>
          <cell r="D8">
            <v>0</v>
          </cell>
          <cell r="E8">
            <v>0</v>
          </cell>
          <cell r="F8"/>
        </row>
        <row r="9">
          <cell r="A9"/>
          <cell r="B9">
            <v>0</v>
          </cell>
          <cell r="C9">
            <v>0</v>
          </cell>
          <cell r="D9">
            <v>0</v>
          </cell>
          <cell r="E9">
            <v>0</v>
          </cell>
          <cell r="F9"/>
        </row>
      </sheetData>
      <sheetData sheetId="3" refreshError="1"/>
      <sheetData sheetId="4" refreshError="1">
        <row r="9">
          <cell r="B9">
            <v>0</v>
          </cell>
          <cell r="C9" t="str">
            <v>X</v>
          </cell>
          <cell r="D9">
            <v>0</v>
          </cell>
          <cell r="E9">
            <v>0</v>
          </cell>
          <cell r="F9">
            <v>0</v>
          </cell>
          <cell r="G9">
            <v>0</v>
          </cell>
          <cell r="H9">
            <v>0</v>
          </cell>
          <cell r="I9" t="str">
            <v>X</v>
          </cell>
          <cell r="J9">
            <v>0</v>
          </cell>
          <cell r="L9"/>
          <cell r="M9"/>
        </row>
        <row r="10">
          <cell r="B10">
            <v>0</v>
          </cell>
          <cell r="C10" t="str">
            <v>X</v>
          </cell>
          <cell r="D10">
            <v>0</v>
          </cell>
          <cell r="E10">
            <v>0</v>
          </cell>
          <cell r="F10">
            <v>0</v>
          </cell>
          <cell r="G10">
            <v>0</v>
          </cell>
          <cell r="H10" t="str">
            <v>X</v>
          </cell>
          <cell r="I10">
            <v>0</v>
          </cell>
          <cell r="J10">
            <v>0</v>
          </cell>
          <cell r="L10"/>
          <cell r="M10"/>
        </row>
        <row r="11">
          <cell r="B11">
            <v>0</v>
          </cell>
          <cell r="C11">
            <v>0</v>
          </cell>
          <cell r="D11">
            <v>0</v>
          </cell>
          <cell r="E11" t="str">
            <v>X</v>
          </cell>
          <cell r="F11">
            <v>0</v>
          </cell>
          <cell r="G11">
            <v>0</v>
          </cell>
          <cell r="H11">
            <v>0</v>
          </cell>
          <cell r="I11">
            <v>0</v>
          </cell>
          <cell r="J11">
            <v>0</v>
          </cell>
          <cell r="L11"/>
          <cell r="M11"/>
        </row>
      </sheetData>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sheetName val="AnálisisRiesgo"/>
      <sheetName val="EvaluaciónRiesgoCorrup"/>
      <sheetName val="EvaluaciónRiesgoGestión"/>
      <sheetName val="MapaRiesgos,"/>
      <sheetName val="Anterior"/>
      <sheetName val="MapaRiesgos Gen Conoci e Inv "/>
    </sheetNames>
    <sheetDataSet>
      <sheetData sheetId="0" refreshError="1"/>
      <sheetData sheetId="1" refreshError="1">
        <row r="2">
          <cell r="B2" t="str">
            <v>Generación de conocimiento e investigación</v>
          </cell>
        </row>
        <row r="3">
          <cell r="B3" t="str">
            <v xml:space="preserve">Generar conocimiento e investigación sobre la dinámica de los recursos naturales y su interacción con la sociedad, para la toma de decisiones. </v>
          </cell>
        </row>
        <row r="8">
          <cell r="A8">
            <v>0</v>
          </cell>
          <cell r="B8">
            <v>0</v>
          </cell>
          <cell r="D8">
            <v>0</v>
          </cell>
        </row>
      </sheetData>
      <sheetData sheetId="2" refreshError="1"/>
      <sheetData sheetId="3" refreshError="1"/>
      <sheetData sheetId="4" refreshError="1">
        <row r="9">
          <cell r="B9">
            <v>0</v>
          </cell>
        </row>
        <row r="11">
          <cell r="B11">
            <v>0</v>
          </cell>
          <cell r="C11">
            <v>0</v>
          </cell>
          <cell r="D11">
            <v>0</v>
          </cell>
          <cell r="E11">
            <v>0</v>
          </cell>
          <cell r="F11">
            <v>0</v>
          </cell>
          <cell r="G11">
            <v>0</v>
          </cell>
          <cell r="H11">
            <v>0</v>
          </cell>
          <cell r="I11">
            <v>0</v>
          </cell>
          <cell r="J11">
            <v>0</v>
          </cell>
          <cell r="K11">
            <v>0</v>
          </cell>
          <cell r="L11">
            <v>0</v>
          </cell>
          <cell r="M11">
            <v>0</v>
          </cell>
          <cell r="N11">
            <v>0</v>
          </cell>
        </row>
      </sheetData>
      <sheetData sheetId="5" refreshError="1">
        <row r="11">
          <cell r="F11">
            <v>85</v>
          </cell>
        </row>
      </sheetData>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ificaciónRiesgos"/>
      <sheetName val="DefiniciónRiesgos"/>
      <sheetName val="ImpactoRiesgoCorrupción"/>
      <sheetName val="AnálisisRiesgos"/>
      <sheetName val="EvaluaciónRiesgos"/>
      <sheetName val="MapaRiesgos,"/>
      <sheetName val="Anterior"/>
      <sheetName val="MapaRiesgos"/>
    </sheetNames>
    <sheetDataSet>
      <sheetData sheetId="0"/>
      <sheetData sheetId="1">
        <row r="6">
          <cell r="A6" t="str">
            <v xml:space="preserve">Desconocimiento de la normatividad aplicable en la emision de informes y productos. No acceso al desarrollo tecnológico que facilite las investigaciones </v>
          </cell>
          <cell r="B6" t="str">
            <v>Impresicion e inexactitud de  los informes y documentos emitidos por el Instituto</v>
          </cell>
          <cell r="C6" t="str">
            <v xml:space="preserve">Emision erronea de datos e informacion incongruente de resultados por parte del IDEAM </v>
          </cell>
          <cell r="D6" t="str">
            <v>Falta de credibilidad, perdida de imagen institucional</v>
          </cell>
        </row>
        <row r="7">
          <cell r="B7" t="str">
            <v>Suministro información hidrometeorológica y ambiental para beneficio particular.</v>
          </cell>
          <cell r="C7" t="str">
            <v>Se pueden generar actos de corrupcion en la elaboracion y tramite de productos e informes</v>
          </cell>
        </row>
      </sheetData>
      <sheetData sheetId="2">
        <row r="4">
          <cell r="A4" t="str">
            <v xml:space="preserve">Emision erronea de datos e informacion incongruente de resultados por parte del IDEAM </v>
          </cell>
          <cell r="B4" t="str">
            <v>X</v>
          </cell>
          <cell r="C4"/>
          <cell r="D4"/>
          <cell r="E4"/>
          <cell r="F4" t="str">
            <v>RIESGO DE GESTIÓN</v>
          </cell>
        </row>
        <row r="5">
          <cell r="A5" t="str">
            <v>Se pueden generar actos de corrupcion en la elaboracion y tramite de productos e informes</v>
          </cell>
          <cell r="B5" t="str">
            <v>X</v>
          </cell>
          <cell r="C5" t="str">
            <v>X</v>
          </cell>
          <cell r="D5" t="str">
            <v>X</v>
          </cell>
          <cell r="E5" t="str">
            <v>X</v>
          </cell>
          <cell r="F5" t="str">
            <v>RIESGO DE CORRUPCIÓN</v>
          </cell>
        </row>
        <row r="6">
          <cell r="A6"/>
          <cell r="B6"/>
          <cell r="C6"/>
          <cell r="D6"/>
          <cell r="E6"/>
          <cell r="F6"/>
        </row>
        <row r="7">
          <cell r="A7"/>
          <cell r="B7"/>
          <cell r="C7"/>
          <cell r="D7"/>
          <cell r="E7"/>
          <cell r="F7"/>
        </row>
        <row r="8">
          <cell r="A8"/>
          <cell r="B8"/>
          <cell r="C8"/>
          <cell r="D8"/>
          <cell r="E8"/>
          <cell r="F8"/>
        </row>
        <row r="9">
          <cell r="A9"/>
          <cell r="B9"/>
          <cell r="C9"/>
          <cell r="D9"/>
          <cell r="E9"/>
          <cell r="F9"/>
        </row>
      </sheetData>
      <sheetData sheetId="3"/>
      <sheetData sheetId="4">
        <row r="9">
          <cell r="B9"/>
          <cell r="C9"/>
          <cell r="D9" t="str">
            <v>X</v>
          </cell>
          <cell r="E9"/>
          <cell r="F9"/>
          <cell r="G9"/>
          <cell r="H9"/>
          <cell r="I9" t="str">
            <v>X</v>
          </cell>
          <cell r="J9"/>
          <cell r="L9"/>
          <cell r="M9"/>
        </row>
        <row r="10">
          <cell r="B10"/>
          <cell r="C10"/>
          <cell r="D10"/>
          <cell r="E10" t="str">
            <v>X</v>
          </cell>
          <cell r="F10"/>
          <cell r="G10"/>
          <cell r="H10"/>
          <cell r="I10"/>
          <cell r="J10"/>
          <cell r="L10" t="str">
            <v>X</v>
          </cell>
          <cell r="M10"/>
        </row>
      </sheetData>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ificaciónRiesgos"/>
      <sheetName val="DefiniciónRiesgos"/>
      <sheetName val="ImpactoRiesgoCorrupción"/>
      <sheetName val="AnálisisRiesgos"/>
      <sheetName val="EvaluaciónRiesgos"/>
      <sheetName val="MapaRiesgos,"/>
      <sheetName val="Anterior"/>
      <sheetName val="MapaRiesgos"/>
    </sheetNames>
    <sheetDataSet>
      <sheetData sheetId="0"/>
      <sheetData sheetId="1">
        <row r="7">
          <cell r="A7" t="str">
            <v>*Falta de controles y supervisión en la generación y difusión de productos finales.
*Uso de información no oficial</v>
          </cell>
          <cell r="B7" t="str">
            <v>Manipulación de la información Hidrometeorológica y Ambiental para beneficio particular.</v>
          </cell>
          <cell r="D7" t="str">
            <v>Riesgos legales, perdida de imagen institucional.
Vulneración de derechos y planificación de políticas.</v>
          </cell>
        </row>
      </sheetData>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Riesgo"/>
      <sheetName val="DefRiesgoCorrup"/>
      <sheetName val="ImpactoRiesgoCorrup"/>
      <sheetName val="AnálisisRiesgo"/>
      <sheetName val="EvaluaciónRiesgoCorrup"/>
      <sheetName val="EvaluaciónRiesgoGestión"/>
      <sheetName val="MapaRiesgos,"/>
      <sheetName val="Anterior"/>
      <sheetName val="MapaRiesgos Servicios"/>
    </sheetNames>
    <sheetDataSet>
      <sheetData sheetId="0"/>
      <sheetData sheetId="1">
        <row r="2">
          <cell r="B2" t="str">
            <v>Servicios (Laboratorio, Acreditación de laboratorios, Aeronáutica, Pronosticos, Redes).</v>
          </cell>
        </row>
        <row r="3">
          <cell r="B3" t="str">
            <v>Satisfacer las necesidades y expectativas de los usuarios y dar respuesta pertinente, confiable y oportuna de los servicios relacionados con las actividades misionales del Instituto.</v>
          </cell>
        </row>
      </sheetData>
      <sheetData sheetId="2"/>
      <sheetData sheetId="3"/>
      <sheetData sheetId="4">
        <row r="9">
          <cell r="B9">
            <v>0</v>
          </cell>
        </row>
      </sheetData>
      <sheetData sheetId="5">
        <row r="11">
          <cell r="F11">
            <v>85</v>
          </cell>
        </row>
      </sheetData>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stratégico"/>
      <sheetName val="IdentificaciónRiesgos"/>
      <sheetName val="DefiniciónRiesgos"/>
      <sheetName val="ImpactoRiesgoCorrupción"/>
      <sheetName val="AnálisisRiesgos"/>
      <sheetName val="EvaluaciónRiesgos"/>
      <sheetName val="MapaRiesgos,"/>
      <sheetName val="Anterior"/>
      <sheetName val="MapaRiesgos"/>
    </sheetNames>
    <sheetDataSet>
      <sheetData sheetId="0"/>
      <sheetData sheetId="1">
        <row r="2">
          <cell r="B2" t="str">
            <v>Servicios - Acreditación de laboratorios</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
  <sheetViews>
    <sheetView showGridLines="0" view="pageBreakPreview" topLeftCell="S16" zoomScale="90" zoomScaleNormal="30" zoomScaleSheetLayoutView="90" workbookViewId="0">
      <selection activeCell="T17" sqref="T17"/>
    </sheetView>
  </sheetViews>
  <sheetFormatPr baseColWidth="10" defaultColWidth="11.453125" defaultRowHeight="14" x14ac:dyDescent="0.35"/>
  <cols>
    <col min="1" max="1" width="41.26953125" style="2" customWidth="1"/>
    <col min="2" max="2" width="40.453125" style="2" customWidth="1"/>
    <col min="3" max="3" width="40.453125" style="399" customWidth="1"/>
    <col min="4" max="4" width="40.453125" style="2" customWidth="1"/>
    <col min="5" max="5" width="40.453125" style="399" customWidth="1"/>
    <col min="6" max="6" width="27" style="5" customWidth="1"/>
    <col min="7" max="7" width="27" style="402" customWidth="1"/>
    <col min="8" max="8" width="19" style="5" customWidth="1"/>
    <col min="9" max="9" width="19" style="402" customWidth="1"/>
    <col min="10" max="10" width="26.7265625" style="5" customWidth="1"/>
    <col min="11" max="11" width="29.7265625" style="2" customWidth="1"/>
    <col min="12" max="15" width="29.7265625" style="399" customWidth="1"/>
    <col min="16" max="16" width="21.7265625" style="399" customWidth="1"/>
    <col min="17" max="17" width="19.81640625" style="2" customWidth="1"/>
    <col min="18" max="18" width="56" style="2" customWidth="1"/>
    <col min="19" max="19" width="27" style="2" customWidth="1"/>
    <col min="20" max="20" width="26.453125" style="5" customWidth="1"/>
    <col min="21" max="21" width="164" style="2" customWidth="1"/>
    <col min="22" max="22" width="30.453125" style="2" customWidth="1"/>
    <col min="23" max="23" width="44.453125" style="2" customWidth="1"/>
    <col min="24" max="24" width="30.453125" style="2" customWidth="1"/>
    <col min="25" max="25" width="36" style="2" hidden="1" customWidth="1"/>
    <col min="26" max="26" width="0" style="2" hidden="1" customWidth="1"/>
    <col min="27" max="73" width="11.453125" style="2" hidden="1" customWidth="1"/>
    <col min="74" max="74" width="11.453125" style="2" customWidth="1"/>
    <col min="75" max="16384" width="11.453125" style="2"/>
  </cols>
  <sheetData>
    <row r="1" spans="1:73"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2"/>
      <c r="U1" s="1053"/>
      <c r="V1" s="1060" t="s">
        <v>1</v>
      </c>
      <c r="W1" s="1061"/>
      <c r="X1" s="1"/>
      <c r="Y1" s="1"/>
    </row>
    <row r="2" spans="1:73" ht="22.5" customHeight="1" x14ac:dyDescent="0.35">
      <c r="A2" s="1050"/>
      <c r="B2" s="1050"/>
      <c r="C2" s="1050"/>
      <c r="D2" s="1050"/>
      <c r="E2" s="80"/>
      <c r="F2" s="1054"/>
      <c r="G2" s="1055"/>
      <c r="H2" s="1055"/>
      <c r="I2" s="1055"/>
      <c r="J2" s="1055"/>
      <c r="K2" s="1055"/>
      <c r="L2" s="1055"/>
      <c r="M2" s="1055"/>
      <c r="N2" s="1055"/>
      <c r="O2" s="1055"/>
      <c r="P2" s="1055"/>
      <c r="Q2" s="1055"/>
      <c r="R2" s="1055"/>
      <c r="S2" s="1055"/>
      <c r="T2" s="1055"/>
      <c r="U2" s="1056"/>
      <c r="V2" s="1060" t="s">
        <v>372</v>
      </c>
      <c r="W2" s="1061"/>
      <c r="X2" s="1"/>
      <c r="Y2" s="1"/>
    </row>
    <row r="3" spans="1:73" ht="21" customHeight="1" x14ac:dyDescent="0.35">
      <c r="A3" s="1050"/>
      <c r="B3" s="1050"/>
      <c r="C3" s="1050"/>
      <c r="D3" s="1050"/>
      <c r="E3" s="80"/>
      <c r="F3" s="1054"/>
      <c r="G3" s="1055"/>
      <c r="H3" s="1055"/>
      <c r="I3" s="1055"/>
      <c r="J3" s="1055"/>
      <c r="K3" s="1055"/>
      <c r="L3" s="1055"/>
      <c r="M3" s="1055"/>
      <c r="N3" s="1055"/>
      <c r="O3" s="1055"/>
      <c r="P3" s="1055"/>
      <c r="Q3" s="1055"/>
      <c r="R3" s="1055"/>
      <c r="S3" s="1055"/>
      <c r="T3" s="1055"/>
      <c r="U3" s="1056"/>
      <c r="V3" s="1060" t="s">
        <v>373</v>
      </c>
      <c r="W3" s="1061"/>
      <c r="X3" s="1"/>
      <c r="Y3" s="1"/>
    </row>
    <row r="4" spans="1:73" ht="20.25" customHeight="1" x14ac:dyDescent="0.35">
      <c r="A4" s="1050"/>
      <c r="B4" s="1050"/>
      <c r="C4" s="1050"/>
      <c r="D4" s="1050"/>
      <c r="E4" s="81"/>
      <c r="F4" s="1057"/>
      <c r="G4" s="1058"/>
      <c r="H4" s="1058"/>
      <c r="I4" s="1058"/>
      <c r="J4" s="1058"/>
      <c r="K4" s="1058"/>
      <c r="L4" s="1058"/>
      <c r="M4" s="1058"/>
      <c r="N4" s="1058"/>
      <c r="O4" s="1058"/>
      <c r="P4" s="1058"/>
      <c r="Q4" s="1058"/>
      <c r="R4" s="1058"/>
      <c r="S4" s="1058"/>
      <c r="T4" s="1058"/>
      <c r="U4" s="1059"/>
      <c r="V4" s="1060" t="s">
        <v>2</v>
      </c>
      <c r="W4" s="1061"/>
      <c r="X4" s="1"/>
      <c r="Y4" s="1"/>
    </row>
    <row r="5" spans="1:73" ht="8.25" customHeight="1" x14ac:dyDescent="0.35">
      <c r="B5" s="3"/>
      <c r="C5" s="400"/>
      <c r="D5" s="3"/>
      <c r="E5" s="400"/>
      <c r="F5" s="4"/>
      <c r="G5" s="401"/>
      <c r="H5" s="4"/>
      <c r="I5" s="401"/>
      <c r="J5" s="4"/>
      <c r="K5" s="4"/>
      <c r="L5" s="401"/>
      <c r="M5" s="401"/>
      <c r="N5" s="401"/>
      <c r="O5" s="401"/>
      <c r="P5" s="401"/>
      <c r="Q5" s="4"/>
      <c r="R5" s="4"/>
      <c r="X5" s="6"/>
      <c r="Y5" s="6"/>
    </row>
    <row r="6" spans="1:73" x14ac:dyDescent="0.35">
      <c r="A6" s="1030" t="s">
        <v>3</v>
      </c>
      <c r="B6" s="1030"/>
      <c r="C6" s="1030"/>
      <c r="D6" s="1030"/>
      <c r="E6" s="82"/>
      <c r="F6" s="1044" t="str">
        <f>[1]IdentRiesgo!B2</f>
        <v>GESTIÓN DE COMUNICACIONES</v>
      </c>
      <c r="G6" s="1045"/>
      <c r="H6" s="1045"/>
      <c r="I6" s="1045"/>
      <c r="J6" s="1045"/>
      <c r="K6" s="1045"/>
      <c r="L6" s="1045"/>
      <c r="M6" s="1045"/>
      <c r="N6" s="1045"/>
      <c r="O6" s="1045"/>
      <c r="P6" s="1045"/>
      <c r="Q6" s="1045"/>
      <c r="R6" s="1045"/>
      <c r="S6" s="1045"/>
      <c r="T6" s="1045"/>
      <c r="U6" s="1045"/>
      <c r="V6" s="1045"/>
      <c r="W6" s="1046"/>
      <c r="X6" s="6"/>
      <c r="Y6" s="6"/>
    </row>
    <row r="7" spans="1:73" ht="6.75" customHeight="1" x14ac:dyDescent="0.35">
      <c r="B7" s="3"/>
      <c r="C7" s="400"/>
      <c r="D7" s="3"/>
      <c r="E7" s="400"/>
      <c r="F7" s="7"/>
      <c r="G7" s="405"/>
      <c r="H7" s="7"/>
      <c r="I7" s="405"/>
      <c r="J7" s="7"/>
      <c r="K7" s="7"/>
      <c r="L7" s="405"/>
      <c r="M7" s="405"/>
      <c r="N7" s="405"/>
      <c r="O7" s="405"/>
      <c r="P7" s="405"/>
      <c r="Q7" s="7"/>
      <c r="R7" s="7"/>
      <c r="S7" s="8"/>
      <c r="T7" s="8"/>
      <c r="U7" s="8"/>
      <c r="V7" s="8"/>
      <c r="W7" s="8"/>
      <c r="X7" s="6"/>
      <c r="Y7" s="6"/>
    </row>
    <row r="8" spans="1:73" ht="39.75" customHeight="1" x14ac:dyDescent="0.35">
      <c r="A8" s="1030" t="s">
        <v>4</v>
      </c>
      <c r="B8" s="1030"/>
      <c r="C8" s="1030"/>
      <c r="D8" s="1030"/>
      <c r="E8" s="82"/>
      <c r="F8" s="1047" t="str">
        <f>[1]IdentRiesgo!B3</f>
        <v xml:space="preserve">Diseñar, estandarizar, promover y evaluar las estrategias de comunicación interna y externa y de redes sociales del Instituto, que permitan mantener informados a los clientes y/o usuarios sobre las decisiones, acontecimientos y demás hechos de interés general, promovidos y/o organizados por la entidad.
</v>
      </c>
      <c r="G8" s="1048"/>
      <c r="H8" s="1048"/>
      <c r="I8" s="1048"/>
      <c r="J8" s="1048"/>
      <c r="K8" s="1048"/>
      <c r="L8" s="1048"/>
      <c r="M8" s="1048"/>
      <c r="N8" s="1048"/>
      <c r="O8" s="1048"/>
      <c r="P8" s="1048"/>
      <c r="Q8" s="1048"/>
      <c r="R8" s="1048"/>
      <c r="S8" s="1048"/>
      <c r="T8" s="1048"/>
      <c r="U8" s="1048"/>
      <c r="V8" s="1048"/>
      <c r="W8" s="1049"/>
      <c r="X8" s="9"/>
      <c r="Y8" s="9"/>
    </row>
    <row r="9" spans="1:73" ht="6.75" customHeight="1" x14ac:dyDescent="0.35">
      <c r="B9" s="10"/>
      <c r="C9" s="403"/>
      <c r="D9" s="10"/>
      <c r="E9" s="403"/>
      <c r="F9" s="11"/>
      <c r="G9" s="406"/>
      <c r="H9" s="11"/>
      <c r="I9" s="406"/>
      <c r="J9" s="11"/>
      <c r="K9" s="11"/>
      <c r="L9" s="406"/>
      <c r="M9" s="406"/>
      <c r="N9" s="406"/>
      <c r="O9" s="406"/>
      <c r="P9" s="406"/>
      <c r="Q9" s="11"/>
      <c r="R9" s="11"/>
      <c r="S9" s="8"/>
      <c r="T9" s="8"/>
      <c r="U9" s="8"/>
      <c r="V9" s="8"/>
      <c r="W9" s="8"/>
      <c r="X9" s="6"/>
      <c r="Y9" s="6"/>
    </row>
    <row r="10" spans="1:73" x14ac:dyDescent="0.35">
      <c r="A10" s="1030" t="s">
        <v>5</v>
      </c>
      <c r="B10" s="1030"/>
      <c r="C10" s="1030"/>
      <c r="D10" s="1030"/>
      <c r="E10" s="82"/>
      <c r="F10" s="1031"/>
      <c r="G10" s="1032"/>
      <c r="H10" s="1032"/>
      <c r="I10" s="1032"/>
      <c r="J10" s="1032"/>
      <c r="K10" s="1032"/>
      <c r="L10" s="1032"/>
      <c r="M10" s="1032"/>
      <c r="N10" s="1032"/>
      <c r="O10" s="1032"/>
      <c r="P10" s="1032"/>
      <c r="Q10" s="1032"/>
      <c r="R10" s="1032"/>
      <c r="S10" s="1032"/>
      <c r="T10" s="1032"/>
      <c r="U10" s="1032"/>
      <c r="V10" s="1032"/>
      <c r="W10" s="1033"/>
      <c r="X10" s="12"/>
      <c r="Y10" s="12"/>
    </row>
    <row r="11" spans="1:73" ht="5.25" customHeight="1" x14ac:dyDescent="0.35">
      <c r="B11" s="3"/>
      <c r="C11" s="400"/>
      <c r="D11" s="3"/>
      <c r="E11" s="400"/>
      <c r="F11" s="13"/>
      <c r="G11" s="425"/>
      <c r="H11" s="13"/>
      <c r="I11" s="425"/>
      <c r="J11" s="13"/>
      <c r="K11" s="13"/>
      <c r="L11" s="425"/>
      <c r="M11" s="425"/>
      <c r="N11" s="425"/>
      <c r="O11" s="425"/>
      <c r="P11" s="425"/>
      <c r="Q11" s="13"/>
      <c r="R11" s="13"/>
      <c r="S11" s="8"/>
      <c r="T11" s="8"/>
      <c r="U11" s="8"/>
      <c r="V11" s="8"/>
      <c r="W11" s="8"/>
      <c r="X11" s="6"/>
      <c r="Y11" s="6"/>
    </row>
    <row r="12" spans="1:73" x14ac:dyDescent="0.35">
      <c r="A12" s="1030" t="s">
        <v>6</v>
      </c>
      <c r="B12" s="1030"/>
      <c r="C12" s="1030"/>
      <c r="D12" s="1030"/>
      <c r="E12" s="82"/>
      <c r="F12" s="1031" t="s">
        <v>92</v>
      </c>
      <c r="G12" s="1032"/>
      <c r="H12" s="1032"/>
      <c r="I12" s="1032"/>
      <c r="J12" s="1032"/>
      <c r="K12" s="1032"/>
      <c r="L12" s="1032"/>
      <c r="M12" s="1032"/>
      <c r="N12" s="1032"/>
      <c r="O12" s="1032"/>
      <c r="P12" s="1032"/>
      <c r="Q12" s="1032"/>
      <c r="R12" s="1032"/>
      <c r="S12" s="1032"/>
      <c r="T12" s="1032"/>
      <c r="U12" s="1032"/>
      <c r="V12" s="1032"/>
      <c r="W12" s="1033"/>
      <c r="X12" s="12"/>
      <c r="Y12" s="12"/>
      <c r="AB12" s="2" t="s">
        <v>7</v>
      </c>
    </row>
    <row r="13" spans="1:73" ht="14.5" thickBot="1" x14ac:dyDescent="0.4">
      <c r="B13" s="3"/>
      <c r="C13" s="400"/>
      <c r="D13" s="3"/>
      <c r="E13" s="400"/>
      <c r="F13" s="14"/>
      <c r="G13" s="407"/>
      <c r="H13" s="15"/>
      <c r="I13" s="404"/>
      <c r="J13" s="15"/>
      <c r="K13" s="7"/>
      <c r="L13" s="405"/>
      <c r="M13" s="405"/>
      <c r="N13" s="405"/>
      <c r="O13" s="405"/>
      <c r="P13" s="405"/>
      <c r="Q13" s="7"/>
      <c r="R13" s="7"/>
      <c r="S13" s="7"/>
      <c r="T13" s="15"/>
      <c r="U13" s="7"/>
      <c r="X13" s="6"/>
      <c r="Y13" s="6"/>
      <c r="AB13" s="2" t="s">
        <v>8</v>
      </c>
      <c r="AH13" s="1034" t="s">
        <v>9</v>
      </c>
      <c r="AI13" s="1034"/>
      <c r="AJ13" s="1034"/>
      <c r="AK13" s="1034"/>
      <c r="AL13" s="1034"/>
      <c r="AM13" s="1034"/>
      <c r="AN13" s="1034"/>
      <c r="AO13" s="1034"/>
      <c r="AP13" s="1034"/>
      <c r="AQ13" s="1034"/>
      <c r="AR13" s="1034"/>
      <c r="AS13" s="1034"/>
      <c r="AT13" s="1034"/>
      <c r="AU13" s="1034"/>
      <c r="AV13" s="1034"/>
      <c r="AW13" s="1034"/>
      <c r="AX13" s="1034"/>
      <c r="AY13" s="1034"/>
      <c r="AZ13" s="1034"/>
      <c r="BB13" s="1034" t="s">
        <v>10</v>
      </c>
      <c r="BC13" s="1034"/>
      <c r="BD13" s="1034"/>
      <c r="BE13" s="1034"/>
      <c r="BF13" s="1034"/>
      <c r="BG13" s="1034"/>
      <c r="BH13" s="1034"/>
      <c r="BI13" s="1034"/>
      <c r="BJ13" s="1034"/>
      <c r="BK13" s="1034"/>
      <c r="BL13" s="1034"/>
      <c r="BM13" s="1034"/>
      <c r="BN13" s="1034"/>
      <c r="BO13" s="1034"/>
      <c r="BP13" s="1034"/>
      <c r="BQ13" s="1034"/>
      <c r="BR13" s="1034"/>
      <c r="BS13" s="1034"/>
      <c r="BT13" s="1034"/>
      <c r="BU13" s="1034"/>
    </row>
    <row r="14" spans="1:73" s="17" customFormat="1" ht="15" customHeight="1" x14ac:dyDescent="0.35">
      <c r="A14" s="1035" t="s">
        <v>11</v>
      </c>
      <c r="B14" s="1036"/>
      <c r="C14" s="1036"/>
      <c r="D14" s="1037"/>
      <c r="E14" s="83"/>
      <c r="F14" s="1038" t="s">
        <v>12</v>
      </c>
      <c r="G14" s="1038"/>
      <c r="H14" s="1038"/>
      <c r="I14" s="420"/>
      <c r="J14" s="16"/>
      <c r="K14" s="1039" t="s">
        <v>13</v>
      </c>
      <c r="L14" s="907"/>
      <c r="M14" s="907"/>
      <c r="N14" s="907"/>
      <c r="O14" s="907"/>
      <c r="P14" s="894"/>
      <c r="Q14" s="1042" t="s">
        <v>15</v>
      </c>
      <c r="R14" s="1042"/>
      <c r="S14" s="1042"/>
      <c r="T14" s="1042" t="s">
        <v>16</v>
      </c>
      <c r="U14" s="1042"/>
      <c r="V14" s="1042"/>
      <c r="W14" s="1042"/>
    </row>
    <row r="15" spans="1:73" s="17" customFormat="1" ht="14.25" customHeight="1" x14ac:dyDescent="0.35">
      <c r="A15" s="1040" t="s">
        <v>17</v>
      </c>
      <c r="B15" s="1040" t="s">
        <v>18</v>
      </c>
      <c r="C15" s="895" t="s">
        <v>96</v>
      </c>
      <c r="D15" s="1040" t="s">
        <v>19</v>
      </c>
      <c r="E15" s="895"/>
      <c r="F15" s="1018" t="s">
        <v>20</v>
      </c>
      <c r="G15" s="1018"/>
      <c r="H15" s="1018"/>
      <c r="I15" s="891"/>
      <c r="J15" s="57"/>
      <c r="K15" s="1040"/>
      <c r="L15" s="908"/>
      <c r="M15" s="908"/>
      <c r="N15" s="908"/>
      <c r="O15" s="908"/>
      <c r="P15" s="893"/>
      <c r="Q15" s="1023" t="s">
        <v>22</v>
      </c>
      <c r="R15" s="1024"/>
      <c r="S15" s="1025"/>
      <c r="T15" s="1018" t="s">
        <v>23</v>
      </c>
      <c r="U15" s="1018" t="s">
        <v>24</v>
      </c>
      <c r="V15" s="1018" t="s">
        <v>5</v>
      </c>
      <c r="W15" s="1018" t="s">
        <v>25</v>
      </c>
    </row>
    <row r="16" spans="1:73" s="17" customFormat="1" ht="63" customHeight="1" thickBot="1" x14ac:dyDescent="0.4">
      <c r="A16" s="1043"/>
      <c r="B16" s="1043"/>
      <c r="C16" s="897"/>
      <c r="D16" s="1043"/>
      <c r="E16" s="897" t="s">
        <v>97</v>
      </c>
      <c r="F16" s="57" t="s">
        <v>26</v>
      </c>
      <c r="G16" s="891" t="s">
        <v>96</v>
      </c>
      <c r="H16" s="57" t="s">
        <v>10</v>
      </c>
      <c r="I16" s="891" t="s">
        <v>96</v>
      </c>
      <c r="J16" s="57" t="s">
        <v>27</v>
      </c>
      <c r="K16" s="1041"/>
      <c r="L16" s="896" t="s">
        <v>98</v>
      </c>
      <c r="M16" s="896" t="s">
        <v>26</v>
      </c>
      <c r="N16" s="896" t="s">
        <v>10</v>
      </c>
      <c r="O16" s="896" t="s">
        <v>27</v>
      </c>
      <c r="P16" s="897" t="s">
        <v>100</v>
      </c>
      <c r="Q16" s="57" t="s">
        <v>28</v>
      </c>
      <c r="R16" s="57" t="s">
        <v>24</v>
      </c>
      <c r="S16" s="57" t="s">
        <v>29</v>
      </c>
      <c r="T16" s="1018"/>
      <c r="U16" s="1018"/>
      <c r="V16" s="1018"/>
      <c r="W16" s="1018"/>
    </row>
    <row r="17" spans="1:71" ht="409.5" customHeight="1" x14ac:dyDescent="0.35">
      <c r="A17" s="21" t="str">
        <f>[1]IdentRiesgo!A6</f>
        <v xml:space="preserve">Obetenr algun beneficio personal o dinero adicional, con la información técnico científica que genera el Instituto.
                                                                                                                                                                                                                                                                                                                                                                                                                                                                                                  </v>
      </c>
      <c r="B17" s="21" t="str">
        <f>[1]IdentRiesgo!B6</f>
        <v>Utilizar indebidamente la información noticiosa previo a su publicación en los diferentes canales como la Web, el Twitter o el Facebook de la Entidad.</v>
      </c>
      <c r="C17" s="899" t="s">
        <v>534</v>
      </c>
      <c r="D17" s="900" t="s">
        <v>535</v>
      </c>
      <c r="E17" s="901" t="s">
        <v>119</v>
      </c>
      <c r="F17" s="902">
        <v>3</v>
      </c>
      <c r="G17" s="903" t="s">
        <v>107</v>
      </c>
      <c r="H17" s="904">
        <v>10</v>
      </c>
      <c r="I17" s="905" t="s">
        <v>108</v>
      </c>
      <c r="J17" s="23" t="str">
        <f>CONCATENATE(Y17,Z17,AA17,AB17,AC17)</f>
        <v xml:space="preserve">  A  </v>
      </c>
      <c r="K17" s="906" t="s">
        <v>85</v>
      </c>
      <c r="L17" s="909"/>
      <c r="M17" s="1026" t="s">
        <v>10</v>
      </c>
      <c r="N17" s="1027"/>
      <c r="O17" s="910" t="s">
        <v>49</v>
      </c>
      <c r="P17" s="911" t="s">
        <v>154</v>
      </c>
      <c r="Q17" s="912" t="s">
        <v>30</v>
      </c>
      <c r="R17" s="24" t="s">
        <v>86</v>
      </c>
      <c r="S17" s="913" t="s">
        <v>536</v>
      </c>
      <c r="T17" s="914">
        <v>42947</v>
      </c>
      <c r="U17" s="915" t="s">
        <v>537</v>
      </c>
      <c r="V17" s="858" t="s">
        <v>533</v>
      </c>
      <c r="W17" s="728"/>
      <c r="Y17" s="28" t="str">
        <f>IF(AND(F17=1,H17=5),$H$25,IF(AND(F17=1,H17=10),$J$25,IF(AND(F17=1,H17=20),$K$25," ")))</f>
        <v xml:space="preserve"> </v>
      </c>
      <c r="Z17" s="28" t="str">
        <f>IF(AND(F17=2,H17=5),$H$26,IF(AND(F17=2,H17=10),$J$26,IF(AND(F17=2,H17=20),$K$26," ")))</f>
        <v xml:space="preserve"> </v>
      </c>
      <c r="AA17" s="28" t="str">
        <f>IF(AND(F17=3,H17=5),$H$27,IF(AND(F17=3,H17=10),$J$27,IF(AND(F17=3,H17=20),$K$27," ")))</f>
        <v>A</v>
      </c>
      <c r="AB17" s="28" t="str">
        <f>IF(AND(F17=4,H17=5),$H$28,IF(AND(F17=4,H17=10),$J$28,IF(AND(F17=4,H17=20),$K$28," ")))</f>
        <v xml:space="preserve"> </v>
      </c>
      <c r="AC17" s="28" t="str">
        <f>IF(AND(F17=5,H17=5),$H$29,IF(AND(F17=5,H17=10),$J$29,IF(AND(F17=5,H17=20),$K$29," ")))</f>
        <v xml:space="preserve"> </v>
      </c>
      <c r="AE17" s="29" t="s">
        <v>31</v>
      </c>
      <c r="AF17" s="28" t="e">
        <f>IF(AND(#REF!&gt;0,[1]EvaluaciónRiesgoCorrupR3!$F$11&gt;75,F17=1,H17=5),$H$25,IF(AND(#REF!&gt;0,[1]EvaluaciónRiesgoCorrupR3!$F$11&gt;75,F17=1,H17=10),$J$25,IF(AND(#REF!&gt;0,[1]EvaluaciónRiesgoCorrupR3!$F$11&gt;75,F17=1,H17=20),$K$25," ")))</f>
        <v>#REF!</v>
      </c>
      <c r="AG17" s="28" t="e">
        <f>IF(AND(#REF!&gt;0,[1]EvaluaciónRiesgoCorrupR3!$F$11&gt;75,F17=2,H17=5),$H$25,IF(AND(#REF!&gt;0,[1]EvaluaciónRiesgoCorrupR3!$F$11&gt;75,F17=2,H17=10),$J$25,IF(AND(#REF!&gt;0,[1]EvaluaciónRiesgoCorrupR3!$F$11&gt;75,F17=2,H17=20),$K$25," ")))</f>
        <v>#REF!</v>
      </c>
      <c r="AH17" s="28" t="e">
        <f>IF(AND(#REF!&gt;0,[1]EvaluaciónRiesgoCorrupR3!$F$11&gt;75,F17=3,H17=5),$H$25,IF(AND(#REF!&gt;0,[1]EvaluaciónRiesgoCorrupR3!$F$11&gt;75,F17=3,H17=10),$J$25,IF(AND(#REF!&gt;0,[1]EvaluaciónRiesgoCorrupR3!$F$11&gt;75,F17=3,H17=20),$K$25," ")))</f>
        <v>#REF!</v>
      </c>
      <c r="AI17" s="28" t="e">
        <f>IF(AND(#REF!&gt;0,[1]EvaluaciónRiesgoCorrupR3!$F$11&gt;75,F17=4,H17=5),$H$26,IF(AND(#REF!&gt;0,[1]EvaluaciónRiesgoCorrupR3!$F$11&gt;75,F17=4,H17=10),$J$26,IF(AND(#REF!&gt;0,[1]EvaluaciónRiesgoCorrupR3!$F$11&gt;75,F17=4,H17=20),$K$26," ")))</f>
        <v>#REF!</v>
      </c>
      <c r="AJ17" s="28" t="e">
        <f>IF(AND(#REF!&gt;0,[1]EvaluaciónRiesgoCorrupR3!$F$11&gt;75,F17=5,H17=5),$H$27,IF(AND(#REF!&gt;0,[1]EvaluaciónRiesgoCorrupR3!$F$11&gt;75,F17=5,H17=10),$J$27,IF(AND(#REF!&gt;0,[1]EvaluaciónRiesgoCorrupR3!$F$11&gt;75,F17=5,H17=20),$K$27," ")))</f>
        <v>#REF!</v>
      </c>
      <c r="AK17" s="29" t="s">
        <v>32</v>
      </c>
      <c r="AL17" s="28" t="e">
        <f>IF(AND(#REF!&gt;0,[1]EvaluaciónRiesgoCorrupR3!$F$11&gt;50,[1]EvaluaciónRiesgoCorrupR3!$F$11&lt;76,F17=1,H17=5),$H$25,IF(AND(#REF!&gt;0,[1]EvaluaciónRiesgoCorrupR3!$F$11&gt;50,[1]EvaluaciónRiesgoCorrupR3!$F$11&lt;76,F17=1,H17=10),$J$25,IF(AND(#REF!&gt;0,[1]EvaluaciónRiesgoCorrupR3!$F$11&gt;50,[1]EvaluaciónRiesgoCorrupR3!$F$11&lt;76,F17=1,H17=20),$K$25," ")))</f>
        <v>#REF!</v>
      </c>
      <c r="AM17" s="28" t="e">
        <f>IF(AND(#REF!&gt;0,[1]EvaluaciónRiesgoCorrupR3!$F$11&gt;50,[1]EvaluaciónRiesgoCorrupR3!$F$11&lt;76,F17=2,H17=5),$H$25,IF(AND(#REF!&gt;0,[1]EvaluaciónRiesgoCorrupR3!$F$11&gt;50,[1]EvaluaciónRiesgoCorrupR3!$F$11&lt;76,F17=2,H17=10),$J$25,IF(AND(#REF!&gt;0,[1]EvaluaciónRiesgoCorrupR3!$F$11&gt;50,[1]EvaluaciónRiesgoCorrupR3!$F$11&lt;76,F17=2,H17=20),$K$25," ")))</f>
        <v>#REF!</v>
      </c>
      <c r="AN17" s="28" t="e">
        <f>IF(AND(#REF!&gt;0,[1]EvaluaciónRiesgoCorrupR3!$F$11&gt;50,[1]EvaluaciónRiesgoCorrupR3!$F$11&lt;76,F17=3,H17=5),$H$26,IF(AND(#REF!&gt;0,[1]EvaluaciónRiesgoCorrupR3!$F$11&gt;50,[1]EvaluaciónRiesgoCorrupR3!$F$11&lt;76,F17=3,H17=10),$J$26,IF(AND(#REF!&gt;0,[1]EvaluaciónRiesgoCorrupR3!$F$11&gt;50,[1]EvaluaciónRiesgoCorrupR3!$F$11&lt;76,F17=3,H17=20),$K$26," ")))</f>
        <v>#REF!</v>
      </c>
      <c r="AO17" s="28" t="e">
        <f>IF(AND(#REF!&gt;0,[1]EvaluaciónRiesgoCorrupR3!$F$11&gt;50,[1]EvaluaciónRiesgoCorrupR3!$F$11&lt;76,F17=4,H17=5),$H$27,IF(AND(#REF!&gt;0,[1]EvaluaciónRiesgoCorrupR3!$F$11&gt;50,[1]EvaluaciónRiesgoCorrupR3!$F$11&lt;76,F17=4,H17=10),$J$27,IF(AND(#REF!&gt;0,[1]EvaluaciónRiesgoCorrupR3!$F$11&gt;50,[1]EvaluaciónRiesgoCorrupR3!$F$11&lt;76,F17=4,H17=20),$K$27," ")))</f>
        <v>#REF!</v>
      </c>
      <c r="AP17" s="28" t="e">
        <f>IF(AND(#REF!&gt;0,[1]EvaluaciónRiesgoCorrupR3!$F$11&gt;50,[1]EvaluaciónRiesgoCorrupR3!$F$11&lt;76,F17=5,H17=5),$H$28,IF(AND(#REF!&gt;0,[1]EvaluaciónRiesgoCorrupR3!$F$11&gt;50,[1]EvaluaciónRiesgoCorrupR3!$F$11&lt;76,F17=5,H17=10),$J$28,IF(AND(#REF!&gt;0,[1]EvaluaciónRiesgoCorrupR3!$F$11&gt;50,[1]EvaluaciónRiesgoCorrupR3!$F$11&lt;76,F17=5,H17=20),$K$28," ")))</f>
        <v>#REF!</v>
      </c>
      <c r="AR17" s="29" t="s">
        <v>33</v>
      </c>
      <c r="AS17" s="28" t="e">
        <f>IF(AND(#REF!&gt;0,[1]EvaluaciónRiesgoCorrupR3!$F$11&lt;51,F17=1,H17=5),$H$25,IF(AND(#REF!&gt;0,[1]EvaluaciónRiesgoCorrupR3!$F$11&lt;51,F17=1,H17=10),$J$25,IF(AND(#REF!&gt;0,[1]EvaluaciónRiesgoCorrupR3!$F$11&lt;51,F17=1,H17=20),K$25," ")))</f>
        <v>#REF!</v>
      </c>
      <c r="AT17" s="28" t="e">
        <f>IF(AND(#REF!&gt;0,[1]EvaluaciónRiesgoCorrupR3!$F$11&lt;51,F17=2,H17=5),$H$26,IF(AND(#REF!&gt;0,[1]EvaluaciónRiesgoCorrupR3!$F$11&lt;51,F17=2,H17=10),$J$26,IF(AND(#REF!&gt;0,[1]EvaluaciónRiesgoCorrupR3!$F$11&lt;51,F17=2,H17=20),K$26," ")))</f>
        <v>#REF!</v>
      </c>
      <c r="AU17" s="28" t="e">
        <f>IF(AND(#REF!&gt;0,[1]EvaluaciónRiesgoCorrupR3!$F$11&lt;51,F17=3,H17=5),$H$27,IF(AND(#REF!&gt;0,[1]EvaluaciónRiesgoCorrupR3!$F$11&lt;51,F17=3,H17=10),$J$27,IF(AND(#REF!&gt;0,[1]EvaluaciónRiesgoCorrupR3!$F$11&lt;51,F17=3,H17=20),K$27," ")))</f>
        <v>#REF!</v>
      </c>
      <c r="AV17" s="28" t="e">
        <f>IF(AND(#REF!&gt;0,[1]EvaluaciónRiesgoCorrupR3!$F$11&lt;51,F17=4,H17=5),$H$28,IF(AND(#REF!&gt;0,[1]EvaluaciónRiesgoCorrupR3!$F$11&lt;51,F17=4,H17=10),$J$28,IF(AND(#REF!&gt;0,[1]EvaluaciónRiesgoCorrupR3!$F$11&lt;51,F17=4,H17=20),K$28," ")))</f>
        <v>#REF!</v>
      </c>
      <c r="AW17" s="28" t="e">
        <f>IF(AND(#REF!&gt;0,[1]EvaluaciónRiesgoCorrupR3!$F$11&lt;51,F17=5,H17=5),$H$29,IF(AND(#REF!&gt;0,[1]EvaluaciónRiesgoCorrupR3!$F$11&lt;51,F17=5,H17=10),$J$29,IF(AND(#REF!&gt;0,[1]EvaluaciónRiesgoCorrupR3!$F$11&lt;51,F17=5,H17=20),K$29," ")))</f>
        <v>#REF!</v>
      </c>
      <c r="AZ17" s="29" t="s">
        <v>31</v>
      </c>
      <c r="BA17" s="28" t="e">
        <f>IF(AND(#REF!&gt;0,[1]EvaluaciónRiesgoCorrupR3!$F$11&gt;75,F17=1,H17=5),$H$25,IF(AND(#REF!&gt;0,[1]EvaluaciónRiesgoCorrupR3!$F$11&gt;75,F17=1,H17=10),$H$25,IF(AND(#REF!&gt;0,[1]EvaluaciónRiesgoCorrupR3!$F$11&gt;75,F17=1,H17=20),$H$25," ")))</f>
        <v>#REF!</v>
      </c>
      <c r="BB17" s="28" t="e">
        <f>IF(AND(#REF!&gt;0,[1]EvaluaciónRiesgoCorrupR3!$F$11&gt;75,F17=2,H17=5),$H$26,IF(AND(#REF!&gt;0,[1]EvaluaciónRiesgoCorrupR3!$F$11&gt;75,F17=2,H17=10),$H$26,IF(AND(#REF!&gt;0,[1]EvaluaciónRiesgoCorrupR3!$F$11&gt;75,F17=2,H17=20),$H$26," ")))</f>
        <v>#REF!</v>
      </c>
      <c r="BC17" s="28" t="e">
        <f>IF(AND(#REF!&gt;0,[1]EvaluaciónRiesgoCorrupR3!$F$11&gt;75,F17=3,H17=5),$H$27,IF(AND(#REF!&gt;0,[1]EvaluaciónRiesgoCorrupR3!$F$11&gt;75,F17=3,H17=10),$H$27,IF(AND(#REF!&gt;0,[1]EvaluaciónRiesgoCorrupR3!$F$11&gt;75,F17=3,H17=20),$H$27," ")))</f>
        <v>#REF!</v>
      </c>
      <c r="BD17" s="28" t="e">
        <f>IF(AND(#REF!&gt;0,[1]EvaluaciónRiesgoCorrupR3!$F$11&gt;75,F17=4,H17=5),$H$28,IF(AND(#REF!&gt;0,[1]EvaluaciónRiesgoCorrupR3!$F$11&gt;75,F17=4,H17=10),$H$28,IF(AND(#REF!&gt;0,[1]EvaluaciónRiesgoCorrupR3!$F$11&gt;75,F17=4,H17=20),$H$28," ")))</f>
        <v>#REF!</v>
      </c>
      <c r="BE17" s="28" t="e">
        <f>IF(AND(#REF!&gt;0,[1]EvaluaciónRiesgoCorrupR3!$F$11&gt;75,F17=5,H17=5),$H$29,IF(AND(#REF!&gt;0,[1]EvaluaciónRiesgoCorrupR3!$F$11&gt;75,F17=5,H17=10),$H$29,IF(AND(#REF!&gt;0,[1]EvaluaciónRiesgoCorrupR3!$F$11&gt;75,F17=5,H17=20),$H$29," ")))</f>
        <v>#REF!</v>
      </c>
      <c r="BG17" s="29" t="s">
        <v>32</v>
      </c>
      <c r="BH17" s="28" t="e">
        <f>IF(AND(#REF!&gt;0,[1]EvaluaciónRiesgoCorrupR3!$F$11&gt;50,[1]EvaluaciónRiesgoCorrupR3!$F$11&lt;76,F17=1,H17=5),$H$25,IF(AND(#REF!&gt;0,[1]EvaluaciónRiesgoCorrupR3!$F$11&gt;50,[1]EvaluaciónRiesgoCorrupR3!$F$11&lt;76,F17=1,H17=10),$H$25,IF(AND(#REF!&gt;0,[1]EvaluaciónRiesgoCorrupR3!$F$11&gt;50,[1]EvaluaciónRiesgoCorrupR3!$F$11&lt;76,F17=1,H17=20),$J$25," ")))</f>
        <v>#REF!</v>
      </c>
      <c r="BI17" s="28" t="e">
        <f>IF(AND(#REF!&gt;0,[1]EvaluaciónRiesgoCorrupR3!$F$11&gt;50,[1]EvaluaciónRiesgoCorrupR3!$F$11&lt;76,F17=2,H17=5),$H$26,IF(AND(#REF!&gt;0,[1]EvaluaciónRiesgoCorrupR3!$F$11&gt;50,[1]EvaluaciónRiesgoCorrupR3!$F$11&lt;76,F17=2,H17=10),$H$26,IF(AND(#REF!&gt;0,[1]EvaluaciónRiesgoCorrupR3!$F$11&gt;50,[1]EvaluaciónRiesgoCorrupR3!$F$11&lt;76,F17=2,H17=20),$J$26," ")))</f>
        <v>#REF!</v>
      </c>
      <c r="BJ17" s="28" t="e">
        <f>IF(AND(#REF!&gt;0,[1]EvaluaciónRiesgoCorrupR3!$F$11&gt;50,[1]EvaluaciónRiesgoCorrupR3!$F$11&lt;76,F17=3,H17=5),$H$27,IF(AND(#REF!&gt;0,[1]EvaluaciónRiesgoCorrupR3!$F$11&gt;50,[1]EvaluaciónRiesgoCorrupR3!$F$11&lt;76,F17=3,H17=10),$H$27,IF(AND(#REF!&gt;0,[1]EvaluaciónRiesgoCorrupR3!$F$11&gt;50,[1]EvaluaciónRiesgoCorrupR3!$F$11&lt;76,F17=3,H17=20),$J$27," ")))</f>
        <v>#REF!</v>
      </c>
      <c r="BK17" s="28" t="e">
        <f>IF(AND(#REF!&gt;0,[1]EvaluaciónRiesgoCorrupR3!$F$11&gt;50,[1]EvaluaciónRiesgoCorrupR3!$F$11&lt;76,F17=4,H17=5),$H$28,IF(AND(#REF!&gt;0,[1]EvaluaciónRiesgoCorrupR3!$F$11&gt;50,[1]EvaluaciónRiesgoCorrupR3!$F$11&lt;76,F17=4,H17=10),$H$28,IF(AND(#REF!&gt;0,[1]EvaluaciónRiesgoCorrupR3!$F$11&gt;50,[1]EvaluaciónRiesgoCorrupR3!$F$11&lt;76,F17=4,H17=20),$J$28," ")))</f>
        <v>#REF!</v>
      </c>
      <c r="BL17" s="28" t="e">
        <f>IF(AND(#REF!&gt;0,[1]EvaluaciónRiesgoCorrupR3!$F$11&gt;50,[1]EvaluaciónRiesgoCorrupR3!$F$11&lt;76,F17=5,H17=5),$H$29,IF(AND(#REF!&gt;0,[1]EvaluaciónRiesgoCorrupR3!$F$11&gt;50,[1]EvaluaciónRiesgoCorrupR3!$F$11&lt;76,F17=5,H17=10),$H$29,IF(AND(#REF!&gt;0,[1]EvaluaciónRiesgoCorrupR3!$F$11&gt;50,[1]EvaluaciónRiesgoCorrupR3!$F$11&lt;76,F17=5,H17=20),$J$29," ")))</f>
        <v>#REF!</v>
      </c>
      <c r="BN17" s="29" t="s">
        <v>33</v>
      </c>
      <c r="BO17" s="28" t="e">
        <f>IF(AND(#REF!&gt;0,[1]EvaluaciónRiesgoCorrupR3!$F$11&lt;51,F17=1,H17=5),$H$25,IF(AND(#REF!&gt;0,[1]EvaluaciónRiesgoCorrupR3!$F$11&lt;51,F17=1,H17=10),$J$25,IF(AND(#REF!&gt;0,[1]EvaluaciónRiesgoCorrupR3!$F$11&lt;51,F17=1,H17=20),$K$25," ")))</f>
        <v>#REF!</v>
      </c>
      <c r="BP17" s="28" t="e">
        <f>IF(AND(#REF!&gt;0,[1]EvaluaciónRiesgoCorrupR3!$F$11&lt;51,F17=2,H17=5),$H$26,IF(AND(#REF!&gt;0,[1]EvaluaciónRiesgoCorrupR3!$F$11&lt;51,F17=2,H17=10),$J$26,IF(AND(#REF!&gt;0,[1]EvaluaciónRiesgoCorrupR3!$F$11&lt;51,F17=2,H17=20),$K$26," ")))</f>
        <v>#REF!</v>
      </c>
      <c r="BQ17" s="28" t="e">
        <f>IF(AND(#REF!&gt;0,[1]EvaluaciónRiesgoCorrupR3!$F$11&lt;51,F17=3,H17=5),$H$27,IF(AND(#REF!&gt;0,[1]EvaluaciónRiesgoCorrupR3!$F$11&lt;51,F17=3,H17=10),$J$27,IF(AND(#REF!&gt;0,[1]EvaluaciónRiesgoCorrupR3!$F$11&lt;51,F17=3,H17=20),$K$27," ")))</f>
        <v>#REF!</v>
      </c>
      <c r="BR17" s="28" t="e">
        <f>IF(AND(#REF!&gt;0,[1]EvaluaciónRiesgoCorrupR3!$F$11&lt;51,F17=4,H17=5),$H$28,IF(AND(#REF!&gt;0,[1]EvaluaciónRiesgoCorrupR3!$F$11&lt;51,F17=4,H17=10),$J$28,IF(AND(#REF!&gt;0,[1]EvaluaciónRiesgoCorrupR3!$F$11&lt;51,F17=4,H17=20),$K$28," ")))</f>
        <v>#REF!</v>
      </c>
      <c r="BS17" s="28" t="e">
        <f>IF(AND(#REF!&gt;0,[1]EvaluaciónRiesgoCorrupR3!$F$11&lt;51,F17=5,H17=5),$H$29,IF(AND(#REF!&gt;0,[1]EvaluaciónRiesgoCorrupR3!$F$11&lt;51,F17=5,H17=10),$J$29,IF(AND(#REF!&gt;0,[1]EvaluaciónRiesgoCorrupR3!$F$11&lt;51,F17=5,H17=20),$K$29," ")))</f>
        <v>#REF!</v>
      </c>
    </row>
    <row r="18" spans="1:71" ht="372.75" customHeight="1" x14ac:dyDescent="0.35">
      <c r="A18" s="21" t="str">
        <f>[1]IdentRiesgo!A7</f>
        <v xml:space="preserve">Falta de control en la priorización de la información que se emite a los usuarios. 
Falta de conocimiento de los funcionarios por cumplir con el deber del libre accaeso a la información como derecho fundamental de los ciudadanos. </v>
      </c>
      <c r="B18" s="21" t="str">
        <f>[1]IdentRiesgo!B7</f>
        <v xml:space="preserve">Ocultar información clave para ciudadanía en caulquier proceso de Rendicion de Cuentas. </v>
      </c>
      <c r="C18" s="916" t="s">
        <v>538</v>
      </c>
      <c r="D18" s="917" t="s">
        <v>535</v>
      </c>
      <c r="E18" s="918" t="s">
        <v>106</v>
      </c>
      <c r="F18" s="919">
        <v>3</v>
      </c>
      <c r="G18" s="920" t="s">
        <v>107</v>
      </c>
      <c r="H18" s="921">
        <v>3</v>
      </c>
      <c r="I18" s="922" t="s">
        <v>117</v>
      </c>
      <c r="J18" s="923" t="s">
        <v>51</v>
      </c>
      <c r="K18" s="24" t="s">
        <v>34</v>
      </c>
      <c r="L18" s="233"/>
      <c r="M18" s="1026" t="s">
        <v>10</v>
      </c>
      <c r="N18" s="1027"/>
      <c r="O18" s="925" t="s">
        <v>48</v>
      </c>
      <c r="P18" s="924" t="s">
        <v>154</v>
      </c>
      <c r="Q18" s="23" t="s">
        <v>35</v>
      </c>
      <c r="R18" s="24" t="s">
        <v>36</v>
      </c>
      <c r="S18" s="24" t="s">
        <v>37</v>
      </c>
      <c r="T18" s="926">
        <v>42947</v>
      </c>
      <c r="U18" s="1017" t="s">
        <v>644</v>
      </c>
      <c r="V18" s="858" t="s">
        <v>533</v>
      </c>
      <c r="W18" s="713"/>
      <c r="Y18" s="28" t="str">
        <f>IF(AND(F18=1,H18=5),$H$25,IF(AND(F18=1,H18=10),$J$25,IF(AND(F18=1,H18=20),$K$25," ")))</f>
        <v xml:space="preserve"> </v>
      </c>
      <c r="Z18" s="28" t="str">
        <f>IF(AND(F18=2,H18=5),$H$26,IF(AND(F18=2,H18=10),$J$26,IF(AND(F18=2,H18=20),$K$26," ")))</f>
        <v xml:space="preserve"> </v>
      </c>
      <c r="AA18" s="28" t="str">
        <f>IF(AND(F18=3,H18=5),$H$27,IF(AND(F18=3,H18=10),$J$27,IF(AND(F18=3,H18=20),$K$27," ")))</f>
        <v xml:space="preserve"> </v>
      </c>
      <c r="AB18" s="28" t="str">
        <f>IF(AND(F18=4,H18=5),$H$28,IF(AND(F18=4,H18=10),$J$28,IF(AND(F18=4,H18=20),$K$28," ")))</f>
        <v xml:space="preserve"> </v>
      </c>
      <c r="AC18" s="28" t="str">
        <f>IF(AND(F18=5,H18=5),$H$29,IF(AND(F18=5,H18=10),$J$29,IF(AND(F18=5,H18=20),$K$29," ")))</f>
        <v xml:space="preserve"> </v>
      </c>
      <c r="AF18" s="28" t="e">
        <f>IF(AND(#REF!&gt;0,[1]EvaluaciónRiesgoCorrupR3!$F$11&gt;75,F18=1,H18=5),$H$25,IF(AND(#REF!&gt;0,[1]EvaluaciónRiesgoCorrupR3!$F$11&gt;75,F18=1,H18=10),$J$25,IF(AND(#REF!&gt;0,[1]EvaluaciónRiesgoCorrupR3!$F$11&gt;75,F18=1,H18=20),$K$25," ")))</f>
        <v>#REF!</v>
      </c>
      <c r="AG18" s="28" t="e">
        <f>IF(AND(#REF!&gt;0,[1]EvaluaciónRiesgoCorrupR3!$F$11&gt;75,F18=2,H18=5),$H$25,IF(AND(#REF!&gt;0,[1]EvaluaciónRiesgoCorrupR3!$F$11&gt;75,F18=2,H18=10),$J$25,IF(AND(#REF!&gt;0,[1]EvaluaciónRiesgoCorrupR3!$F$11&gt;75,F18=2,H18=20),$K$25," ")))</f>
        <v>#REF!</v>
      </c>
      <c r="AH18" s="28" t="e">
        <f>IF(AND(#REF!&gt;0,[1]EvaluaciónRiesgoCorrupR3!$F$11&gt;75,F18=3,H18=5),$H$25,IF(AND(#REF!&gt;0,[1]EvaluaciónRiesgoCorrupR3!$F$11&gt;75,F18=3,H18=10),$J$25,IF(AND(#REF!&gt;0,[1]EvaluaciónRiesgoCorrupR3!$F$11&gt;75,F18=3,H18=20),$K$25," ")))</f>
        <v>#REF!</v>
      </c>
      <c r="AI18" s="28" t="e">
        <f>IF(AND(#REF!&gt;0,[1]EvaluaciónRiesgoCorrupR3!$F$11&gt;75,F18=4,H18=5),$H$26,IF(AND(#REF!&gt;0,[1]EvaluaciónRiesgoCorrupR3!$F$11&gt;75,F18=4,H18=10),$J$26,IF(AND(#REF!&gt;0,[1]EvaluaciónRiesgoCorrupR3!$F$11&gt;75,F18=4,H18=20),$K$26," ")))</f>
        <v>#REF!</v>
      </c>
      <c r="AJ18" s="28" t="e">
        <f>IF(AND(#REF!&gt;0,[1]EvaluaciónRiesgoCorrupR3!$F$11&gt;75,F18=5,H18=5),$H$27,IF(AND(#REF!&gt;0,[1]EvaluaciónRiesgoCorrupR3!$F$11&gt;75,F18=5,H18=10),$J$27,IF(AND(#REF!&gt;0,[1]EvaluaciónRiesgoCorrupR3!$F$11&gt;75,F18=5,H18=20),$K$27," ")))</f>
        <v>#REF!</v>
      </c>
      <c r="AL18" s="28" t="e">
        <f>IF(AND(#REF!&gt;0,[1]EvaluaciónRiesgoCorrupR3!$F$11&gt;50,[1]EvaluaciónRiesgoCorrupR3!$F$11&lt;76,F18=1,H18=5),$H$25,IF(AND(#REF!&gt;0,[1]EvaluaciónRiesgoCorrupR3!$F$11&gt;50,[1]EvaluaciónRiesgoCorrupR3!$F$11&lt;76,F18=1,H18=10),$J$25,IF(AND(#REF!&gt;0,[1]EvaluaciónRiesgoCorrupR3!$F$11&gt;50,[1]EvaluaciónRiesgoCorrupR3!$F$11&lt;76,F18=1,H18=20),$K$25," ")))</f>
        <v>#REF!</v>
      </c>
      <c r="AM18" s="28" t="e">
        <f>IF(AND(#REF!&gt;0,[1]EvaluaciónRiesgoCorrupR3!$F$11&gt;50,[1]EvaluaciónRiesgoCorrupR3!$F$11&lt;76,F18=2,H18=5),$H$25,IF(AND(#REF!&gt;0,[1]EvaluaciónRiesgoCorrupR3!$F$11&gt;50,[1]EvaluaciónRiesgoCorrupR3!$F$11&lt;76,F18=2,H18=10),$J$25,IF(AND(#REF!&gt;0,[1]EvaluaciónRiesgoCorrupR3!$F$11&gt;50,[1]EvaluaciónRiesgoCorrupR3!$F$11&lt;76,F18=2,H18=20),$K$25," ")))</f>
        <v>#REF!</v>
      </c>
      <c r="AN18" s="28" t="e">
        <f>IF(AND(#REF!&gt;0,[1]EvaluaciónRiesgoCorrupR3!$F$11&gt;50,[1]EvaluaciónRiesgoCorrupR3!$F$11&lt;76,F18=3,H18=5),$H$26,IF(AND(#REF!&gt;0,[1]EvaluaciónRiesgoCorrupR3!$F$11&gt;50,[1]EvaluaciónRiesgoCorrupR3!$F$11&lt;76,F18=3,H18=10),$J$26,IF(AND(#REF!&gt;0,[1]EvaluaciónRiesgoCorrupR3!$F$11&gt;50,[1]EvaluaciónRiesgoCorrupR3!$F$11&lt;76,F18=3,H18=20),$K$26," ")))</f>
        <v>#REF!</v>
      </c>
      <c r="AO18" s="28" t="e">
        <f>IF(AND(#REF!&gt;0,[1]EvaluaciónRiesgoCorrupR3!$F$11&gt;50,[1]EvaluaciónRiesgoCorrupR3!$F$11&lt;76,F18=4,H18=5),$H$27,IF(AND(#REF!&gt;0,[1]EvaluaciónRiesgoCorrupR3!$F$11&gt;50,[1]EvaluaciónRiesgoCorrupR3!$F$11&lt;76,F18=4,H18=10),$J$27,IF(AND(#REF!&gt;0,[1]EvaluaciónRiesgoCorrupR3!$F$11&gt;50,[1]EvaluaciónRiesgoCorrupR3!$F$11&lt;76,F18=4,H18=20),$K$27," ")))</f>
        <v>#REF!</v>
      </c>
      <c r="AP18" s="28" t="e">
        <f>IF(AND(#REF!&gt;0,[1]EvaluaciónRiesgoCorrupR3!$F$11&gt;50,[1]EvaluaciónRiesgoCorrupR3!$F$11&lt;76,F18=5,H18=5),$H$28,IF(AND(#REF!&gt;0,[1]EvaluaciónRiesgoCorrupR3!$F$11&gt;50,[1]EvaluaciónRiesgoCorrupR3!$F$11&lt;76,F18=5,H18=10),$J$28,IF(AND(#REF!&gt;0,[1]EvaluaciónRiesgoCorrupR3!$F$11&gt;50,[1]EvaluaciónRiesgoCorrupR3!$F$11&lt;76,F18=5,H18=20),$K$28," ")))</f>
        <v>#REF!</v>
      </c>
      <c r="AS18" s="28" t="e">
        <f>IF(AND(#REF!&gt;0,[1]EvaluaciónRiesgoCorrupR3!$F$11&lt;51,F18=1,H18=5),$H$25,IF(AND(#REF!&gt;0,[1]EvaluaciónRiesgoCorrupR3!$F$11&lt;51,F18=1,H18=10),$J$25,IF(AND(#REF!&gt;0,[1]EvaluaciónRiesgoCorrupR3!$F$11&lt;51,F18=1,H18=20),K$25," ")))</f>
        <v>#REF!</v>
      </c>
      <c r="AT18" s="28" t="e">
        <f>IF(AND(#REF!&gt;0,[1]EvaluaciónRiesgoCorrupR3!$F$11&lt;51,F18=2,H18=5),$H$26,IF(AND(#REF!&gt;0,[1]EvaluaciónRiesgoCorrupR3!$F$11&lt;51,F18=2,H18=10),$J$26,IF(AND(#REF!&gt;0,[1]EvaluaciónRiesgoCorrupR3!$F$11&lt;51,F18=2,H18=20),K$26," ")))</f>
        <v>#REF!</v>
      </c>
      <c r="AU18" s="28" t="e">
        <f>IF(AND(#REF!&gt;0,[1]EvaluaciónRiesgoCorrupR3!$F$11&lt;51,F18=3,H18=5),$H$27,IF(AND(#REF!&gt;0,[1]EvaluaciónRiesgoCorrupR3!$F$11&lt;51,F18=3,H18=10),$J$27,IF(AND(#REF!&gt;0,[1]EvaluaciónRiesgoCorrupR3!$F$11&lt;51,F18=3,H18=20),K$27," ")))</f>
        <v>#REF!</v>
      </c>
      <c r="AV18" s="28" t="e">
        <f>IF(AND(#REF!&gt;0,[1]EvaluaciónRiesgoCorrupR3!$F$11&lt;51,F18=4,H18=5),$H$28,IF(AND(#REF!&gt;0,[1]EvaluaciónRiesgoCorrupR3!$F$11&lt;51,F18=4,H18=10),$J$28,IF(AND(#REF!&gt;0,[1]EvaluaciónRiesgoCorrupR3!$F$11&lt;51,F18=4,H18=20),K$28," ")))</f>
        <v>#REF!</v>
      </c>
      <c r="AW18" s="28" t="e">
        <f>IF(AND(#REF!&gt;0,[1]EvaluaciónRiesgoCorrupR3!$F$11&lt;51,F18=5,H18=5),$H$29,IF(AND(#REF!&gt;0,[1]EvaluaciónRiesgoCorrupR3!$F$11&lt;51,F18=5,H18=10),$J$29,IF(AND(#REF!&gt;0,[1]EvaluaciónRiesgoCorrupR3!$F$11&lt;51,F18=5,H18=20),K$29," ")))</f>
        <v>#REF!</v>
      </c>
      <c r="BA18" s="28" t="e">
        <f>IF(AND(#REF!&gt;0,[1]EvaluaciónRiesgoCorrupR3!$F$11&gt;75,F18=1,H18=5),$H$25,IF(AND(#REF!&gt;0,[1]EvaluaciónRiesgoCorrupR3!$F$11&gt;75,F18=1,H18=10),$H$25,IF(AND(#REF!&gt;0,[1]EvaluaciónRiesgoCorrupR3!$F$11&gt;75,F18=1,H18=20),$H$25," ")))</f>
        <v>#REF!</v>
      </c>
      <c r="BB18" s="28" t="e">
        <f>IF(AND(#REF!&gt;0,[1]EvaluaciónRiesgoCorrupR3!$F$11&gt;75,F18=2,H18=5),$H$26,IF(AND(#REF!&gt;0,[1]EvaluaciónRiesgoCorrupR3!$F$11&gt;75,F18=2,H18=10),$H$26,IF(AND(#REF!&gt;0,[1]EvaluaciónRiesgoCorrupR3!$F$11&gt;75,F18=2,H18=20),$H$26," ")))</f>
        <v>#REF!</v>
      </c>
      <c r="BC18" s="28" t="e">
        <f>IF(AND(#REF!&gt;0,[1]EvaluaciónRiesgoCorrupR3!$F$11&gt;75,F18=3,H18=5),$H$27,IF(AND(#REF!&gt;0,[1]EvaluaciónRiesgoCorrupR3!$F$11&gt;75,F18=3,H18=10),$H$27,IF(AND(#REF!&gt;0,[1]EvaluaciónRiesgoCorrupR3!$F$11&gt;75,F18=3,H18=20),$H$27," ")))</f>
        <v>#REF!</v>
      </c>
      <c r="BD18" s="28" t="e">
        <f>IF(AND(#REF!&gt;0,[1]EvaluaciónRiesgoCorrupR3!$F$11&gt;75,F18=4,H18=5),$H$28,IF(AND(#REF!&gt;0,[1]EvaluaciónRiesgoCorrupR3!$F$11&gt;75,F18=4,H18=10),$H$28,IF(AND(#REF!&gt;0,[1]EvaluaciónRiesgoCorrupR3!$F$11&gt;75,F18=4,H18=20),$H$28," ")))</f>
        <v>#REF!</v>
      </c>
      <c r="BE18" s="28" t="e">
        <f>IF(AND(#REF!&gt;0,[1]EvaluaciónRiesgoCorrupR3!$F$11&gt;75,F18=5,H18=5),$H$29,IF(AND(#REF!&gt;0,[1]EvaluaciónRiesgoCorrupR3!$F$11&gt;75,F18=5,H18=10),$H$29,IF(AND(#REF!&gt;0,[1]EvaluaciónRiesgoCorrupR3!$F$11&gt;75,F18=5,H18=20),$H$29," ")))</f>
        <v>#REF!</v>
      </c>
      <c r="BH18" s="28" t="e">
        <f>IF(AND(#REF!&gt;0,[1]EvaluaciónRiesgoCorrupR3!$F$11&gt;50,[1]EvaluaciónRiesgoCorrupR3!$F$11&lt;76,F18=1,H18=5),$H$25,IF(AND(#REF!&gt;0,[1]EvaluaciónRiesgoCorrupR3!$F$11&gt;50,[1]EvaluaciónRiesgoCorrupR3!$F$11&lt;76,F18=1,H18=10),$H$25,IF(AND(#REF!&gt;0,[1]EvaluaciónRiesgoCorrupR3!$F$11&gt;50,[1]EvaluaciónRiesgoCorrupR3!$F$11&lt;76,F18=1,H18=20),$J$25," ")))</f>
        <v>#REF!</v>
      </c>
      <c r="BI18" s="28" t="e">
        <f>IF(AND(#REF!&gt;0,[1]EvaluaciónRiesgoCorrupR3!$F$11&gt;50,[1]EvaluaciónRiesgoCorrupR3!$F$11&lt;76,F18=2,H18=5),$H$26,IF(AND(#REF!&gt;0,[1]EvaluaciónRiesgoCorrupR3!$F$11&gt;50,[1]EvaluaciónRiesgoCorrupR3!$F$11&lt;76,F18=2,H18=10),$H$26,IF(AND(#REF!&gt;0,[1]EvaluaciónRiesgoCorrupR3!$F$11&gt;50,[1]EvaluaciónRiesgoCorrupR3!$F$11&lt;76,F18=2,H18=20),$J$26," ")))</f>
        <v>#REF!</v>
      </c>
      <c r="BJ18" s="28" t="e">
        <f>IF(AND(#REF!&gt;0,[1]EvaluaciónRiesgoCorrupR3!$F$11&gt;50,[1]EvaluaciónRiesgoCorrupR3!$F$11&lt;76,F18=3,H18=5),$H$27,IF(AND(#REF!&gt;0,[1]EvaluaciónRiesgoCorrupR3!$F$11&gt;50,[1]EvaluaciónRiesgoCorrupR3!$F$11&lt;76,F18=3,H18=10),$H$27,IF(AND(#REF!&gt;0,[1]EvaluaciónRiesgoCorrupR3!$F$11&gt;50,[1]EvaluaciónRiesgoCorrupR3!$F$11&lt;76,F18=3,H18=20),$J$27," ")))</f>
        <v>#REF!</v>
      </c>
      <c r="BK18" s="28" t="e">
        <f>IF(AND(#REF!&gt;0,[1]EvaluaciónRiesgoCorrupR3!$F$11&gt;50,[1]EvaluaciónRiesgoCorrupR3!$F$11&lt;76,F18=4,H18=5),$H$28,IF(AND(#REF!&gt;0,[1]EvaluaciónRiesgoCorrupR3!$F$11&gt;50,[1]EvaluaciónRiesgoCorrupR3!$F$11&lt;76,F18=4,H18=10),$H$28,IF(AND(#REF!&gt;0,[1]EvaluaciónRiesgoCorrupR3!$F$11&gt;50,[1]EvaluaciónRiesgoCorrupR3!$F$11&lt;76,F18=4,H18=20),$J$28," ")))</f>
        <v>#REF!</v>
      </c>
      <c r="BL18" s="28" t="e">
        <f>IF(AND(#REF!&gt;0,[1]EvaluaciónRiesgoCorrupR3!$F$11&gt;50,[1]EvaluaciónRiesgoCorrupR3!$F$11&lt;76,F18=5,H18=5),$H$29,IF(AND(#REF!&gt;0,[1]EvaluaciónRiesgoCorrupR3!$F$11&gt;50,[1]EvaluaciónRiesgoCorrupR3!$F$11&lt;76,F18=5,H18=10),$H$29,IF(AND(#REF!&gt;0,[1]EvaluaciónRiesgoCorrupR3!$F$11&gt;50,[1]EvaluaciónRiesgoCorrupR3!$F$11&lt;76,F18=5,H18=20),$J$29," ")))</f>
        <v>#REF!</v>
      </c>
      <c r="BO18" s="28" t="e">
        <f>IF(AND(#REF!&gt;0,[1]EvaluaciónRiesgoCorrupR3!$F$11&lt;51,F18=1,H18=5),$H$25,IF(AND(#REF!&gt;0,[1]EvaluaciónRiesgoCorrupR3!$F$11&lt;51,F18=1,H18=10),$J$25,IF(AND(#REF!&gt;0,[1]EvaluaciónRiesgoCorrupR3!$F$11&lt;51,F18=1,H18=20),$K$25," ")))</f>
        <v>#REF!</v>
      </c>
      <c r="BP18" s="28" t="e">
        <f>IF(AND(#REF!&gt;0,[1]EvaluaciónRiesgoCorrupR3!$F$11&lt;51,F18=2,H18=5),$H$26,IF(AND(#REF!&gt;0,[1]EvaluaciónRiesgoCorrupR3!$F$11&lt;51,F18=2,H18=10),$J$26,IF(AND(#REF!&gt;0,[1]EvaluaciónRiesgoCorrupR3!$F$11&lt;51,F18=2,H18=20),$K$26," ")))</f>
        <v>#REF!</v>
      </c>
      <c r="BQ18" s="28" t="e">
        <f>IF(AND(#REF!&gt;0,[1]EvaluaciónRiesgoCorrupR3!$F$11&lt;51,F18=3,H18=5),$H$27,IF(AND(#REF!&gt;0,[1]EvaluaciónRiesgoCorrupR3!$F$11&lt;51,F18=3,H18=10),$J$27,IF(AND(#REF!&gt;0,[1]EvaluaciónRiesgoCorrupR3!$F$11&lt;51,F18=3,H18=20),$K$27," ")))</f>
        <v>#REF!</v>
      </c>
      <c r="BR18" s="28" t="e">
        <f>IF(AND(#REF!&gt;0,[1]EvaluaciónRiesgoCorrupR3!$F$11&lt;51,F18=4,H18=5),$H$28,IF(AND(#REF!&gt;0,[1]EvaluaciónRiesgoCorrupR3!$F$11&lt;51,F18=4,H18=10),$J$28,IF(AND(#REF!&gt;0,[1]EvaluaciónRiesgoCorrupR3!$F$11&lt;51,F18=4,H18=20),$K$28," ")))</f>
        <v>#REF!</v>
      </c>
      <c r="BS18" s="28" t="e">
        <f>IF(AND(#REF!&gt;0,[1]EvaluaciónRiesgoCorrupR3!$F$11&lt;51,F18=5,H18=5),$H$29,IF(AND(#REF!&gt;0,[1]EvaluaciónRiesgoCorrupR3!$F$11&lt;51,F18=5,H18=10),$J$29,IF(AND(#REF!&gt;0,[1]EvaluaciónRiesgoCorrupR3!$F$11&lt;51,F18=5,H18=20),$K$29," ")))</f>
        <v>#REF!</v>
      </c>
    </row>
    <row r="19" spans="1:71" ht="409.5" customHeight="1" x14ac:dyDescent="0.35">
      <c r="A19" s="21" t="str">
        <f>[1]IdentRiesgo!A8</f>
        <v xml:space="preserve">Desconocimiento de roles y responsabilidades frente a divulgacion de la informacion noticiosa por parte de los funcionarios del Grupo de comunicaciones IDEAM.
Pronunciamientos confusos para usuarios y partes interesadas sobre el IDEAM.
Entrega incompleta y/o extemporanea de la información, por parte de los diferentes procesos.
</v>
      </c>
      <c r="B19" s="21" t="str">
        <f>[1]IdentRiesgo!B8</f>
        <v>Manipular y divulgar informacion noticiosa, incompleta, confusa e inadecuada a usuarios y partes interesadas relacionada con planes, proyectos, programas, servicios, tramites y actividades del instituto, en beneficio particular.</v>
      </c>
      <c r="C19" s="927" t="s">
        <v>539</v>
      </c>
      <c r="D19" s="928" t="s">
        <v>535</v>
      </c>
      <c r="E19" s="929" t="s">
        <v>106</v>
      </c>
      <c r="F19" s="930">
        <v>3</v>
      </c>
      <c r="G19" s="931" t="s">
        <v>107</v>
      </c>
      <c r="H19" s="932">
        <v>3</v>
      </c>
      <c r="I19" s="933" t="s">
        <v>117</v>
      </c>
      <c r="J19" s="934" t="s">
        <v>51</v>
      </c>
      <c r="K19" s="24" t="s">
        <v>38</v>
      </c>
      <c r="L19" s="233"/>
      <c r="M19" s="1028" t="s">
        <v>10</v>
      </c>
      <c r="N19" s="1029"/>
      <c r="O19" s="935" t="s">
        <v>48</v>
      </c>
      <c r="P19" s="548" t="s">
        <v>154</v>
      </c>
      <c r="Q19" s="23" t="s">
        <v>39</v>
      </c>
      <c r="R19" s="24" t="s">
        <v>40</v>
      </c>
      <c r="S19" s="24" t="s">
        <v>41</v>
      </c>
      <c r="T19" s="936">
        <v>42947</v>
      </c>
      <c r="U19" s="937" t="s">
        <v>540</v>
      </c>
      <c r="V19" s="858" t="s">
        <v>533</v>
      </c>
      <c r="W19" s="728"/>
      <c r="Y19" s="28" t="str">
        <f>IF(AND(F19=1,H19=5),$H$25,IF(AND(F19=1,H19=10),$J$25,IF(AND(F19=1,H19=20),$K$25," ")))</f>
        <v xml:space="preserve"> </v>
      </c>
      <c r="Z19" s="28" t="str">
        <f>IF(AND(F19=2,H19=5),$H$26,IF(AND(F19=2,H19=10),$J$26,IF(AND(F19=2,H19=20),$K$26," ")))</f>
        <v xml:space="preserve"> </v>
      </c>
      <c r="AA19" s="28" t="str">
        <f>IF(AND(F19=3,H19=5),$H$27,IF(AND(F19=3,H19=10),$J$27,IF(AND(F19=3,H19=20),$K$27," ")))</f>
        <v xml:space="preserve"> </v>
      </c>
      <c r="AB19" s="28" t="str">
        <f>IF(AND(F19=4,H19=5),$H$28,IF(AND(F19=4,H19=10),$J$28,IF(AND(F19=4,H19=20),$K$28," ")))</f>
        <v xml:space="preserve"> </v>
      </c>
      <c r="AC19" s="28" t="str">
        <f>IF(AND(F19=5,H19=5),$H$29,IF(AND(F19=5,H19=10),$J$29,IF(AND(F19=5,H19=20),$K$29," ")))</f>
        <v xml:space="preserve"> </v>
      </c>
      <c r="AF19" s="28" t="e">
        <f>IF(AND(#REF!&gt;0,[1]EvaluaciónRiesgoCorrupR3!$F$11&gt;75,F19=1,H19=5),$H$25,IF(AND(#REF!&gt;0,[1]EvaluaciónRiesgoCorrupR3!$F$11&gt;75,F19=1,H19=10),$J$25,IF(AND(#REF!&gt;0,[1]EvaluaciónRiesgoCorrupR3!$F$11&gt;75,F19=1,H19=20),$K$25," ")))</f>
        <v>#REF!</v>
      </c>
      <c r="AG19" s="28" t="e">
        <f>IF(AND(#REF!&gt;0,[1]EvaluaciónRiesgoCorrupR3!$F$11&gt;75,F19=2,H19=5),$H$25,IF(AND(#REF!&gt;0,[1]EvaluaciónRiesgoCorrupR3!$F$11&gt;75,F19=2,H19=10),$J$25,IF(AND(#REF!&gt;0,[1]EvaluaciónRiesgoCorrupR3!$F$11&gt;75,F19=2,H19=20),$K$25," ")))</f>
        <v>#REF!</v>
      </c>
      <c r="AH19" s="28" t="e">
        <f>IF(AND(#REF!&gt;0,[1]EvaluaciónRiesgoCorrupR3!$F$11&gt;75,F19=3,H19=5),$H$25,IF(AND(#REF!&gt;0,[1]EvaluaciónRiesgoCorrupR3!$F$11&gt;75,F19=3,H19=10),$J$25,IF(AND(#REF!&gt;0,[1]EvaluaciónRiesgoCorrupR3!$F$11&gt;75,F19=3,H19=20),$K$25," ")))</f>
        <v>#REF!</v>
      </c>
      <c r="AI19" s="28" t="e">
        <f>IF(AND(#REF!&gt;0,[1]EvaluaciónRiesgoCorrupR3!$F$11&gt;75,F19=4,H19=5),$H$26,IF(AND(#REF!&gt;0,[1]EvaluaciónRiesgoCorrupR3!$F$11&gt;75,F19=4,H19=10),$J$26,IF(AND(#REF!&gt;0,[1]EvaluaciónRiesgoCorrupR3!$F$11&gt;75,F19=4,H19=20),$K$26," ")))</f>
        <v>#REF!</v>
      </c>
      <c r="AJ19" s="28" t="e">
        <f>IF(AND(#REF!&gt;0,[1]EvaluaciónRiesgoCorrupR3!$F$11&gt;75,F19=5,H19=5),$H$27,IF(AND(#REF!&gt;0,[1]EvaluaciónRiesgoCorrupR3!$F$11&gt;75,F19=5,H19=10),$J$27,IF(AND(#REF!&gt;0,[1]EvaluaciónRiesgoCorrupR3!$F$11&gt;75,F19=5,H19=20),$K$27," ")))</f>
        <v>#REF!</v>
      </c>
      <c r="AL19" s="28" t="e">
        <f>IF(AND(#REF!&gt;0,[1]EvaluaciónRiesgoCorrupR3!$F$11&gt;50,[1]EvaluaciónRiesgoCorrupR3!$F$11&lt;76,F19=1,H19=5),$H$25,IF(AND(#REF!&gt;0,[1]EvaluaciónRiesgoCorrupR3!$F$11&gt;50,[1]EvaluaciónRiesgoCorrupR3!$F$11&lt;76,F19=1,H19=10),$J$25,IF(AND(#REF!&gt;0,[1]EvaluaciónRiesgoCorrupR3!$F$11&gt;50,[1]EvaluaciónRiesgoCorrupR3!$F$11&lt;76,F19=1,H19=20),$K$25," ")))</f>
        <v>#REF!</v>
      </c>
      <c r="AM19" s="28" t="e">
        <f>IF(AND(#REF!&gt;0,[1]EvaluaciónRiesgoCorrupR3!$F$11&gt;50,[1]EvaluaciónRiesgoCorrupR3!$F$11&lt;76,F19=2,H19=5),$H$25,IF(AND(#REF!&gt;0,[1]EvaluaciónRiesgoCorrupR3!$F$11&gt;50,[1]EvaluaciónRiesgoCorrupR3!$F$11&lt;76,F19=2,H19=10),$J$25,IF(AND(#REF!&gt;0,[1]EvaluaciónRiesgoCorrupR3!$F$11&gt;50,[1]EvaluaciónRiesgoCorrupR3!$F$11&lt;76,F19=2,H19=20),$K$25," ")))</f>
        <v>#REF!</v>
      </c>
      <c r="AN19" s="28" t="e">
        <f>IF(AND(#REF!&gt;0,[1]EvaluaciónRiesgoCorrupR3!$F$11&gt;50,[1]EvaluaciónRiesgoCorrupR3!$F$11&lt;76,F19=3,H19=5),$H$26,IF(AND(#REF!&gt;0,[1]EvaluaciónRiesgoCorrupR3!$F$11&gt;50,[1]EvaluaciónRiesgoCorrupR3!$F$11&lt;76,F19=3,H19=10),$J$26,IF(AND(#REF!&gt;0,[1]EvaluaciónRiesgoCorrupR3!$F$11&gt;50,[1]EvaluaciónRiesgoCorrupR3!$F$11&lt;76,F19=3,H19=20),$K$26," ")))</f>
        <v>#REF!</v>
      </c>
      <c r="AO19" s="28" t="e">
        <f>IF(AND(#REF!&gt;0,[1]EvaluaciónRiesgoCorrupR3!$F$11&gt;50,[1]EvaluaciónRiesgoCorrupR3!$F$11&lt;76,F19=4,H19=5),$H$27,IF(AND(#REF!&gt;0,[1]EvaluaciónRiesgoCorrupR3!$F$11&gt;50,[1]EvaluaciónRiesgoCorrupR3!$F$11&lt;76,F19=4,H19=10),$J$27,IF(AND(#REF!&gt;0,[1]EvaluaciónRiesgoCorrupR3!$F$11&gt;50,[1]EvaluaciónRiesgoCorrupR3!$F$11&lt;76,F19=4,H19=20),$K$27," ")))</f>
        <v>#REF!</v>
      </c>
      <c r="AP19" s="28" t="e">
        <f>IF(AND(#REF!&gt;0,[1]EvaluaciónRiesgoCorrupR3!$F$11&gt;50,[1]EvaluaciónRiesgoCorrupR3!$F$11&lt;76,F19=5,H19=5),$H$28,IF(AND(#REF!&gt;0,[1]EvaluaciónRiesgoCorrupR3!$F$11&gt;50,[1]EvaluaciónRiesgoCorrupR3!$F$11&lt;76,F19=5,H19=10),$J$28,IF(AND(#REF!&gt;0,[1]EvaluaciónRiesgoCorrupR3!$F$11&gt;50,[1]EvaluaciónRiesgoCorrupR3!$F$11&lt;76,F19=5,H19=20),$K$28," ")))</f>
        <v>#REF!</v>
      </c>
      <c r="AS19" s="28" t="e">
        <f>IF(AND(#REF!&gt;0,[1]EvaluaciónRiesgoCorrupR3!$F$11&lt;51,F19=1,H19=5),$H$25,IF(AND(#REF!&gt;0,[1]EvaluaciónRiesgoCorrupR3!$F$11&lt;51,F19=1,H19=10),$J$25,IF(AND(#REF!&gt;0,[1]EvaluaciónRiesgoCorrupR3!$F$11&lt;51,F19=1,H19=20),K$25," ")))</f>
        <v>#REF!</v>
      </c>
      <c r="AT19" s="28" t="e">
        <f>IF(AND(#REF!&gt;0,[1]EvaluaciónRiesgoCorrupR3!$F$11&lt;51,F19=2,H19=5),$H$26,IF(AND(#REF!&gt;0,[1]EvaluaciónRiesgoCorrupR3!$F$11&lt;51,F19=2,H19=10),$J$26,IF(AND(#REF!&gt;0,[1]EvaluaciónRiesgoCorrupR3!$F$11&lt;51,F19=2,H19=20),K$26," ")))</f>
        <v>#REF!</v>
      </c>
      <c r="AU19" s="28" t="e">
        <f>IF(AND(#REF!&gt;0,[1]EvaluaciónRiesgoCorrupR3!$F$11&lt;51,F19=3,H19=5),$H$27,IF(AND(#REF!&gt;0,[1]EvaluaciónRiesgoCorrupR3!$F$11&lt;51,F19=3,H19=10),$J$27,IF(AND(#REF!&gt;0,[1]EvaluaciónRiesgoCorrupR3!$F$11&lt;51,F19=3,H19=20),K$27," ")))</f>
        <v>#REF!</v>
      </c>
      <c r="AV19" s="28" t="e">
        <f>IF(AND(#REF!&gt;0,[1]EvaluaciónRiesgoCorrupR3!$F$11&lt;51,F19=4,H19=5),$H$28,IF(AND(#REF!&gt;0,[1]EvaluaciónRiesgoCorrupR3!$F$11&lt;51,F19=4,H19=10),$J$28,IF(AND(#REF!&gt;0,[1]EvaluaciónRiesgoCorrupR3!$F$11&lt;51,F19=4,H19=20),K$28," ")))</f>
        <v>#REF!</v>
      </c>
      <c r="AW19" s="28" t="e">
        <f>IF(AND(#REF!&gt;0,[1]EvaluaciónRiesgoCorrupR3!$F$11&lt;51,F19=5,H19=5),$H$29,IF(AND(#REF!&gt;0,[1]EvaluaciónRiesgoCorrupR3!$F$11&lt;51,F19=5,H19=10),$J$29,IF(AND(#REF!&gt;0,[1]EvaluaciónRiesgoCorrupR3!$F$11&lt;51,F19=5,H19=20),K$29," ")))</f>
        <v>#REF!</v>
      </c>
      <c r="BA19" s="28" t="e">
        <f>IF(AND(#REF!&gt;0,[1]EvaluaciónRiesgoCorrupR3!$F$11&gt;75,F19=1,H19=5),$H$25,IF(AND(#REF!&gt;0,[1]EvaluaciónRiesgoCorrupR3!$F$11&gt;75,F19=1,H19=10),$H$25,IF(AND(#REF!&gt;0,[1]EvaluaciónRiesgoCorrupR3!$F$11&gt;75,F19=1,H19=20),$H$25," ")))</f>
        <v>#REF!</v>
      </c>
      <c r="BB19" s="28" t="e">
        <f>IF(AND(#REF!&gt;0,[1]EvaluaciónRiesgoCorrupR3!$F$11&gt;75,F19=2,H19=5),$H$26,IF(AND(#REF!&gt;0,[1]EvaluaciónRiesgoCorrupR3!$F$11&gt;75,F19=2,H19=10),$H$26,IF(AND(#REF!&gt;0,[1]EvaluaciónRiesgoCorrupR3!$F$11&gt;75,F19=2,H19=20),$H$26," ")))</f>
        <v>#REF!</v>
      </c>
      <c r="BC19" s="28" t="e">
        <f>IF(AND(#REF!&gt;0,[1]EvaluaciónRiesgoCorrupR3!$F$11&gt;75,F19=3,H19=5),$H$27,IF(AND(#REF!&gt;0,[1]EvaluaciónRiesgoCorrupR3!$F$11&gt;75,F19=3,H19=10),$H$27,IF(AND(#REF!&gt;0,[1]EvaluaciónRiesgoCorrupR3!$F$11&gt;75,F19=3,H19=20),$H$27," ")))</f>
        <v>#REF!</v>
      </c>
      <c r="BD19" s="28" t="e">
        <f>IF(AND(#REF!&gt;0,[1]EvaluaciónRiesgoCorrupR3!$F$11&gt;75,F19=4,H19=5),$H$28,IF(AND(#REF!&gt;0,[1]EvaluaciónRiesgoCorrupR3!$F$11&gt;75,F19=4,H19=10),$H$28,IF(AND(#REF!&gt;0,[1]EvaluaciónRiesgoCorrupR3!$F$11&gt;75,F19=4,H19=20),$H$28," ")))</f>
        <v>#REF!</v>
      </c>
      <c r="BE19" s="28" t="e">
        <f>IF(AND(#REF!&gt;0,[1]EvaluaciónRiesgoCorrupR3!$F$11&gt;75,F19=5,H19=5),$H$29,IF(AND(#REF!&gt;0,[1]EvaluaciónRiesgoCorrupR3!$F$11&gt;75,F19=5,H19=10),$H$29,IF(AND(#REF!&gt;0,[1]EvaluaciónRiesgoCorrupR3!$F$11&gt;75,F19=5,H19=20),$H$29," ")))</f>
        <v>#REF!</v>
      </c>
      <c r="BH19" s="28" t="e">
        <f>IF(AND(#REF!&gt;0,[1]EvaluaciónRiesgoCorrupR3!$F$11&gt;50,[1]EvaluaciónRiesgoCorrupR3!$F$11&lt;76,F19=1,H19=5),$H$25,IF(AND(#REF!&gt;0,[1]EvaluaciónRiesgoCorrupR3!$F$11&gt;50,[1]EvaluaciónRiesgoCorrupR3!$F$11&lt;76,F19=1,H19=10),$H$25,IF(AND(#REF!&gt;0,[1]EvaluaciónRiesgoCorrupR3!$F$11&gt;50,[1]EvaluaciónRiesgoCorrupR3!$F$11&lt;76,F19=1,H19=20),$J$25," ")))</f>
        <v>#REF!</v>
      </c>
      <c r="BI19" s="28" t="e">
        <f>IF(AND(#REF!&gt;0,[1]EvaluaciónRiesgoCorrupR3!$F$11&gt;50,[1]EvaluaciónRiesgoCorrupR3!$F$11&lt;76,F19=2,H19=5),$H$26,IF(AND(#REF!&gt;0,[1]EvaluaciónRiesgoCorrupR3!$F$11&gt;50,[1]EvaluaciónRiesgoCorrupR3!$F$11&lt;76,F19=2,H19=10),$H$26,IF(AND(#REF!&gt;0,[1]EvaluaciónRiesgoCorrupR3!$F$11&gt;50,[1]EvaluaciónRiesgoCorrupR3!$F$11&lt;76,F19=2,H19=20),$J$26," ")))</f>
        <v>#REF!</v>
      </c>
      <c r="BJ19" s="28" t="e">
        <f>IF(AND(#REF!&gt;0,[1]EvaluaciónRiesgoCorrupR3!$F$11&gt;50,[1]EvaluaciónRiesgoCorrupR3!$F$11&lt;76,F19=3,H19=5),$H$27,IF(AND(#REF!&gt;0,[1]EvaluaciónRiesgoCorrupR3!$F$11&gt;50,[1]EvaluaciónRiesgoCorrupR3!$F$11&lt;76,F19=3,H19=10),$H$27,IF(AND(#REF!&gt;0,[1]EvaluaciónRiesgoCorrupR3!$F$11&gt;50,[1]EvaluaciónRiesgoCorrupR3!$F$11&lt;76,F19=3,H19=20),$J$27," ")))</f>
        <v>#REF!</v>
      </c>
      <c r="BK19" s="28" t="e">
        <f>IF(AND(#REF!&gt;0,[1]EvaluaciónRiesgoCorrupR3!$F$11&gt;50,[1]EvaluaciónRiesgoCorrupR3!$F$11&lt;76,F19=4,H19=5),$H$28,IF(AND(#REF!&gt;0,[1]EvaluaciónRiesgoCorrupR3!$F$11&gt;50,[1]EvaluaciónRiesgoCorrupR3!$F$11&lt;76,F19=4,H19=10),$H$28,IF(AND(#REF!&gt;0,[1]EvaluaciónRiesgoCorrupR3!$F$11&gt;50,[1]EvaluaciónRiesgoCorrupR3!$F$11&lt;76,F19=4,H19=20),$J$28," ")))</f>
        <v>#REF!</v>
      </c>
      <c r="BL19" s="28" t="e">
        <f>IF(AND(#REF!&gt;0,[1]EvaluaciónRiesgoCorrupR3!$F$11&gt;50,[1]EvaluaciónRiesgoCorrupR3!$F$11&lt;76,F19=5,H19=5),$H$29,IF(AND(#REF!&gt;0,[1]EvaluaciónRiesgoCorrupR3!$F$11&gt;50,[1]EvaluaciónRiesgoCorrupR3!$F$11&lt;76,F19=5,H19=10),$H$29,IF(AND(#REF!&gt;0,[1]EvaluaciónRiesgoCorrupR3!$F$11&gt;50,[1]EvaluaciónRiesgoCorrupR3!$F$11&lt;76,F19=5,H19=20),$J$29," ")))</f>
        <v>#REF!</v>
      </c>
      <c r="BO19" s="28" t="e">
        <f>IF(AND(#REF!&gt;0,[1]EvaluaciónRiesgoCorrupR3!$F$11&lt;51,F19=1,H19=5),$H$25,IF(AND(#REF!&gt;0,[1]EvaluaciónRiesgoCorrupR3!$F$11&lt;51,F19=1,H19=10),$J$25,IF(AND(#REF!&gt;0,[1]EvaluaciónRiesgoCorrupR3!$F$11&lt;51,F19=1,H19=20),$K$25," ")))</f>
        <v>#REF!</v>
      </c>
      <c r="BP19" s="28" t="e">
        <f>IF(AND(#REF!&gt;0,[1]EvaluaciónRiesgoCorrupR3!$F$11&lt;51,F19=2,H19=5),$H$26,IF(AND(#REF!&gt;0,[1]EvaluaciónRiesgoCorrupR3!$F$11&lt;51,F19=2,H19=10),$J$26,IF(AND(#REF!&gt;0,[1]EvaluaciónRiesgoCorrupR3!$F$11&lt;51,F19=2,H19=20),$K$26," ")))</f>
        <v>#REF!</v>
      </c>
      <c r="BQ19" s="28" t="e">
        <f>IF(AND(#REF!&gt;0,[1]EvaluaciónRiesgoCorrupR3!$F$11&lt;51,F19=3,H19=5),$H$27,IF(AND(#REF!&gt;0,[1]EvaluaciónRiesgoCorrupR3!$F$11&lt;51,F19=3,H19=10),$J$27,IF(AND(#REF!&gt;0,[1]EvaluaciónRiesgoCorrupR3!$F$11&lt;51,F19=3,H19=20),$K$27," ")))</f>
        <v>#REF!</v>
      </c>
      <c r="BR19" s="28" t="e">
        <f>IF(AND(#REF!&gt;0,[1]EvaluaciónRiesgoCorrupR3!$F$11&lt;51,F19=4,H19=5),$H$28,IF(AND(#REF!&gt;0,[1]EvaluaciónRiesgoCorrupR3!$F$11&lt;51,F19=4,H19=10),$J$28,IF(AND(#REF!&gt;0,[1]EvaluaciónRiesgoCorrupR3!$F$11&lt;51,F19=4,H19=20),$K$28," ")))</f>
        <v>#REF!</v>
      </c>
      <c r="BS19" s="28" t="e">
        <f>IF(AND(#REF!&gt;0,[1]EvaluaciónRiesgoCorrupR3!$F$11&lt;51,F19=5,H19=5),$H$29,IF(AND(#REF!&gt;0,[1]EvaluaciónRiesgoCorrupR3!$F$11&lt;51,F19=5,H19=10),$J$29,IF(AND(#REF!&gt;0,[1]EvaluaciónRiesgoCorrupR3!$F$11&lt;51,F19=5,H19=20),$K$29," ")))</f>
        <v>#REF!</v>
      </c>
    </row>
    <row r="20" spans="1:71" x14ac:dyDescent="0.35">
      <c r="A20" s="56"/>
      <c r="B20" s="22"/>
      <c r="C20" s="408"/>
      <c r="D20" s="22"/>
      <c r="E20" s="99"/>
    </row>
    <row r="21" spans="1:71" x14ac:dyDescent="0.35">
      <c r="A21" s="28"/>
      <c r="B21" s="30"/>
      <c r="C21" s="410"/>
      <c r="D21" s="30"/>
      <c r="E21" s="423"/>
    </row>
    <row r="22" spans="1:71" ht="14.5" thickBot="1" x14ac:dyDescent="0.4">
      <c r="A22" s="28"/>
      <c r="B22" s="30"/>
      <c r="C22" s="410"/>
      <c r="D22" s="30"/>
      <c r="E22" s="423"/>
      <c r="H22" s="32"/>
      <c r="I22" s="424"/>
      <c r="J22" s="32"/>
    </row>
    <row r="23" spans="1:71" ht="14.5" thickBot="1" x14ac:dyDescent="0.4">
      <c r="A23" s="6"/>
      <c r="B23" s="33"/>
      <c r="C23" s="423"/>
      <c r="D23" s="33"/>
      <c r="E23" s="423"/>
      <c r="F23" s="1019" t="s">
        <v>26</v>
      </c>
      <c r="G23" s="84"/>
      <c r="H23" s="1021" t="s">
        <v>10</v>
      </c>
      <c r="I23" s="1021"/>
      <c r="J23" s="1021"/>
      <c r="K23" s="1022"/>
      <c r="L23" s="106"/>
      <c r="M23" s="106"/>
      <c r="N23" s="106"/>
      <c r="O23" s="106"/>
      <c r="R23" s="5"/>
      <c r="T23" s="2"/>
    </row>
    <row r="24" spans="1:71" ht="32.25" customHeight="1" thickBot="1" x14ac:dyDescent="0.4">
      <c r="A24" s="5"/>
      <c r="B24" s="34" t="s">
        <v>42</v>
      </c>
      <c r="C24" s="411"/>
      <c r="D24" s="34"/>
      <c r="E24" s="411"/>
      <c r="F24" s="1020"/>
      <c r="G24" s="892"/>
      <c r="H24" s="35" t="s">
        <v>43</v>
      </c>
      <c r="I24" s="412"/>
      <c r="J24" s="36" t="s">
        <v>44</v>
      </c>
      <c r="K24" s="35" t="s">
        <v>45</v>
      </c>
      <c r="L24" s="109"/>
      <c r="M24" s="109"/>
      <c r="N24" s="109"/>
      <c r="O24" s="109"/>
      <c r="R24" s="5"/>
      <c r="T24" s="2"/>
    </row>
    <row r="25" spans="1:71" ht="14.5" thickBot="1" x14ac:dyDescent="0.4">
      <c r="B25" s="5" t="s">
        <v>46</v>
      </c>
      <c r="C25" s="402"/>
      <c r="F25" s="37" t="s">
        <v>47</v>
      </c>
      <c r="G25" s="413"/>
      <c r="H25" s="38" t="s">
        <v>48</v>
      </c>
      <c r="I25" s="414"/>
      <c r="J25" s="38" t="s">
        <v>48</v>
      </c>
      <c r="K25" s="39" t="s">
        <v>49</v>
      </c>
      <c r="L25" s="110"/>
      <c r="M25" s="110"/>
      <c r="N25" s="110"/>
      <c r="O25" s="110"/>
      <c r="R25" s="5"/>
      <c r="T25" s="2"/>
    </row>
    <row r="26" spans="1:71" ht="14.5" thickBot="1" x14ac:dyDescent="0.4">
      <c r="F26" s="37" t="s">
        <v>50</v>
      </c>
      <c r="G26" s="413"/>
      <c r="H26" s="38" t="s">
        <v>48</v>
      </c>
      <c r="I26" s="414"/>
      <c r="J26" s="39" t="s">
        <v>49</v>
      </c>
      <c r="K26" s="40" t="s">
        <v>51</v>
      </c>
      <c r="L26" s="111"/>
      <c r="M26" s="111"/>
      <c r="N26" s="111"/>
      <c r="O26" s="111"/>
      <c r="R26" s="5"/>
      <c r="T26" s="2"/>
    </row>
    <row r="27" spans="1:71" ht="14.5" thickBot="1" x14ac:dyDescent="0.4">
      <c r="F27" s="37" t="s">
        <v>52</v>
      </c>
      <c r="G27" s="413"/>
      <c r="H27" s="39" t="s">
        <v>49</v>
      </c>
      <c r="I27" s="415"/>
      <c r="J27" s="40" t="s">
        <v>51</v>
      </c>
      <c r="K27" s="41" t="s">
        <v>53</v>
      </c>
      <c r="L27" s="112"/>
      <c r="M27" s="112"/>
      <c r="N27" s="112"/>
      <c r="O27" s="112"/>
      <c r="R27" s="5"/>
      <c r="T27" s="2"/>
    </row>
    <row r="28" spans="1:71" ht="14.5" thickBot="1" x14ac:dyDescent="0.4">
      <c r="F28" s="37" t="s">
        <v>54</v>
      </c>
      <c r="G28" s="413"/>
      <c r="H28" s="39" t="s">
        <v>49</v>
      </c>
      <c r="I28" s="415"/>
      <c r="J28" s="40" t="s">
        <v>51</v>
      </c>
      <c r="K28" s="41" t="s">
        <v>53</v>
      </c>
      <c r="L28" s="112"/>
      <c r="M28" s="112"/>
      <c r="N28" s="112"/>
      <c r="O28" s="112"/>
      <c r="R28" s="5"/>
      <c r="T28" s="2"/>
    </row>
    <row r="29" spans="1:71" ht="14.5" thickBot="1" x14ac:dyDescent="0.4">
      <c r="F29" s="37" t="s">
        <v>55</v>
      </c>
      <c r="G29" s="413"/>
      <c r="H29" s="39" t="s">
        <v>49</v>
      </c>
      <c r="I29" s="415"/>
      <c r="J29" s="40" t="s">
        <v>51</v>
      </c>
      <c r="K29" s="41" t="s">
        <v>53</v>
      </c>
      <c r="L29" s="112"/>
      <c r="M29" s="112"/>
      <c r="N29" s="112"/>
      <c r="O29" s="112"/>
      <c r="R29" s="5"/>
      <c r="T29" s="2"/>
    </row>
    <row r="30" spans="1:71" x14ac:dyDescent="0.35">
      <c r="F30" s="2"/>
      <c r="G30" s="399"/>
      <c r="H30" s="2"/>
      <c r="I30" s="399"/>
      <c r="J30" s="2"/>
      <c r="K30" s="5"/>
      <c r="L30" s="402"/>
      <c r="M30" s="402"/>
      <c r="N30" s="402"/>
      <c r="O30" s="402"/>
    </row>
    <row r="31" spans="1:71" x14ac:dyDescent="0.35">
      <c r="F31" s="42" t="s">
        <v>56</v>
      </c>
      <c r="G31" s="416"/>
      <c r="H31" s="2"/>
      <c r="I31" s="399"/>
      <c r="J31" s="2"/>
      <c r="K31" s="5"/>
      <c r="L31" s="402"/>
      <c r="M31" s="402"/>
      <c r="N31" s="402"/>
      <c r="O31" s="402"/>
      <c r="P31" s="402"/>
      <c r="Q31" s="5"/>
    </row>
    <row r="32" spans="1:71" x14ac:dyDescent="0.35">
      <c r="F32" s="43" t="s">
        <v>57</v>
      </c>
      <c r="G32" s="417"/>
      <c r="H32" s="2"/>
      <c r="I32" s="399"/>
      <c r="J32" s="2"/>
      <c r="K32" s="5"/>
      <c r="L32" s="402"/>
      <c r="M32" s="402"/>
      <c r="N32" s="402"/>
      <c r="O32" s="402"/>
      <c r="P32" s="402"/>
      <c r="Q32" s="5"/>
    </row>
    <row r="33" spans="6:17" x14ac:dyDescent="0.35">
      <c r="F33" s="44" t="s">
        <v>58</v>
      </c>
      <c r="G33" s="418"/>
      <c r="H33" s="2"/>
      <c r="I33" s="399"/>
      <c r="J33" s="2"/>
      <c r="K33" s="5"/>
      <c r="L33" s="402"/>
      <c r="M33" s="402"/>
      <c r="N33" s="402"/>
      <c r="O33" s="402"/>
      <c r="P33" s="402"/>
      <c r="Q33" s="5"/>
    </row>
    <row r="34" spans="6:17" x14ac:dyDescent="0.35">
      <c r="F34" s="45" t="s">
        <v>59</v>
      </c>
      <c r="G34" s="419"/>
      <c r="H34" s="2"/>
      <c r="I34" s="399"/>
      <c r="J34" s="2"/>
      <c r="K34" s="5"/>
      <c r="L34" s="402"/>
      <c r="M34" s="402"/>
      <c r="N34" s="402"/>
      <c r="O34" s="402"/>
      <c r="P34" s="402"/>
      <c r="Q34" s="5"/>
    </row>
  </sheetData>
  <mergeCells count="35">
    <mergeCell ref="A1:D4"/>
    <mergeCell ref="F1:U4"/>
    <mergeCell ref="V1:W1"/>
    <mergeCell ref="V2:W2"/>
    <mergeCell ref="V3:W3"/>
    <mergeCell ref="V4:W4"/>
    <mergeCell ref="A6:D6"/>
    <mergeCell ref="F6:W6"/>
    <mergeCell ref="A8:D8"/>
    <mergeCell ref="F8:W8"/>
    <mergeCell ref="A10:D10"/>
    <mergeCell ref="F10:W10"/>
    <mergeCell ref="A12:D12"/>
    <mergeCell ref="F12:W12"/>
    <mergeCell ref="AH13:AZ13"/>
    <mergeCell ref="BB13:BU13"/>
    <mergeCell ref="A14:D14"/>
    <mergeCell ref="F14:H14"/>
    <mergeCell ref="K14:K16"/>
    <mergeCell ref="Q14:S14"/>
    <mergeCell ref="T14:W14"/>
    <mergeCell ref="A15:A16"/>
    <mergeCell ref="B15:B16"/>
    <mergeCell ref="D15:D16"/>
    <mergeCell ref="F15:H15"/>
    <mergeCell ref="T15:T16"/>
    <mergeCell ref="U15:U16"/>
    <mergeCell ref="V15:V16"/>
    <mergeCell ref="W15:W16"/>
    <mergeCell ref="F23:F24"/>
    <mergeCell ref="H23:K23"/>
    <mergeCell ref="Q15:S15"/>
    <mergeCell ref="M17:N17"/>
    <mergeCell ref="M18:N18"/>
    <mergeCell ref="M19:N19"/>
  </mergeCells>
  <conditionalFormatting sqref="J17:J19 P17:P19">
    <cfRule type="containsText" dxfId="207" priority="1" operator="containsText" text="E">
      <formula>NOT(ISERROR(SEARCH("E",J17)))</formula>
    </cfRule>
    <cfRule type="containsText" dxfId="206" priority="2" operator="containsText" text="M">
      <formula>NOT(ISERROR(SEARCH("M",J17)))</formula>
    </cfRule>
    <cfRule type="containsText" dxfId="205" priority="3" operator="containsText" text="A">
      <formula>NOT(ISERROR(SEARCH("A",J17)))</formula>
    </cfRule>
    <cfRule type="containsText" dxfId="204" priority="4" operator="containsText" text="B">
      <formula>NOT(ISERROR(SEARCH("B",J17)))</formula>
    </cfRule>
  </conditionalFormatting>
  <dataValidations disablePrompts="1" count="2">
    <dataValidation type="list" allowBlank="1" showInputMessage="1" showErrorMessage="1" sqref="Q20:R20">
      <formula1>$J$31:$J$34</formula1>
    </dataValidation>
    <dataValidation type="list" allowBlank="1" showInputMessage="1" showErrorMessage="1" sqref="P20">
      <formula1>#REF!</formula1>
    </dataValidation>
  </dataValidations>
  <pageMargins left="0.7" right="0.7" top="0.75" bottom="0.75" header="0.3" footer="0.3"/>
  <pageSetup scale="1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
  <sheetViews>
    <sheetView showGridLines="0" view="pageBreakPreview" topLeftCell="O20" zoomScaleNormal="85" zoomScaleSheetLayoutView="100" workbookViewId="0">
      <selection activeCell="S22" sqref="S22"/>
    </sheetView>
  </sheetViews>
  <sheetFormatPr baseColWidth="10" defaultColWidth="11.453125" defaultRowHeight="14" x14ac:dyDescent="0.35"/>
  <cols>
    <col min="1" max="1" width="41.26953125" style="2" customWidth="1"/>
    <col min="2" max="5" width="40.453125" style="2" customWidth="1"/>
    <col min="6" max="7" width="27" style="5" customWidth="1"/>
    <col min="8" max="9" width="19" style="5" customWidth="1"/>
    <col min="10" max="10" width="26.7265625" style="5" customWidth="1"/>
    <col min="11" max="11" width="29.7265625" style="2" customWidth="1"/>
    <col min="12" max="12" width="17.7265625" style="5" customWidth="1"/>
    <col min="13" max="13" width="18.54296875" style="2" customWidth="1"/>
    <col min="14" max="15" width="21.7265625" style="2" customWidth="1"/>
    <col min="16" max="16" width="19.81640625" style="2" customWidth="1"/>
    <col min="17" max="17" width="30.7265625" style="2" customWidth="1"/>
    <col min="18" max="18" width="17" style="2" customWidth="1"/>
    <col min="19" max="19" width="16.54296875" style="5" customWidth="1"/>
    <col min="20" max="20" width="39.453125" style="2" customWidth="1"/>
    <col min="21" max="21" width="30.453125" style="2" customWidth="1"/>
    <col min="22" max="22" width="45.453125" style="2" customWidth="1"/>
    <col min="23" max="23" width="30.453125" style="2" customWidth="1"/>
    <col min="24" max="24" width="36" style="2" hidden="1" customWidth="1"/>
    <col min="25" max="73" width="11.453125" style="2" hidden="1" customWidth="1"/>
    <col min="74" max="16384" width="11.453125" style="2"/>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60" t="s">
        <v>372</v>
      </c>
      <c r="V2" s="1061"/>
      <c r="W2" s="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60" t="s">
        <v>373</v>
      </c>
      <c r="V3" s="1061"/>
      <c r="W3" s="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3"/>
      <c r="C5" s="3"/>
      <c r="D5" s="3"/>
      <c r="E5" s="3"/>
      <c r="F5" s="4"/>
      <c r="G5" s="4"/>
      <c r="H5" s="4"/>
      <c r="I5" s="4"/>
      <c r="J5" s="4"/>
      <c r="K5" s="4"/>
      <c r="L5" s="4"/>
      <c r="M5" s="4"/>
      <c r="N5" s="4"/>
      <c r="O5" s="4"/>
      <c r="P5" s="4"/>
      <c r="Q5" s="4"/>
      <c r="W5" s="6"/>
      <c r="X5" s="6"/>
    </row>
    <row r="6" spans="1:72" x14ac:dyDescent="0.35">
      <c r="A6" s="1030" t="s">
        <v>3</v>
      </c>
      <c r="B6" s="1030"/>
      <c r="C6" s="1030"/>
      <c r="D6" s="1030"/>
      <c r="E6" s="82"/>
      <c r="F6" s="1044" t="str">
        <f>[15]IdentRiesgo!B2</f>
        <v>Gestión Financiera-Contabilidad</v>
      </c>
      <c r="G6" s="1045"/>
      <c r="H6" s="1045"/>
      <c r="I6" s="1045"/>
      <c r="J6" s="1045"/>
      <c r="K6" s="1045"/>
      <c r="L6" s="1045"/>
      <c r="M6" s="1045"/>
      <c r="N6" s="1045"/>
      <c r="O6" s="1045"/>
      <c r="P6" s="1045"/>
      <c r="Q6" s="1045"/>
      <c r="R6" s="1045"/>
      <c r="S6" s="1045"/>
      <c r="T6" s="1045"/>
      <c r="U6" s="1045"/>
      <c r="V6" s="1046"/>
      <c r="W6" s="6"/>
      <c r="X6" s="6"/>
    </row>
    <row r="7" spans="1:72" ht="6.75" customHeight="1" x14ac:dyDescent="0.35">
      <c r="B7" s="3"/>
      <c r="C7" s="3"/>
      <c r="D7" s="3"/>
      <c r="E7" s="3"/>
      <c r="F7" s="7"/>
      <c r="G7" s="7"/>
      <c r="H7" s="7"/>
      <c r="I7" s="7"/>
      <c r="J7" s="7"/>
      <c r="K7" s="7"/>
      <c r="L7" s="7"/>
      <c r="M7" s="7"/>
      <c r="N7" s="7"/>
      <c r="O7" s="7"/>
      <c r="P7" s="7"/>
      <c r="Q7" s="7"/>
      <c r="R7" s="8"/>
      <c r="S7" s="8"/>
      <c r="T7" s="8"/>
      <c r="U7" s="8"/>
      <c r="V7" s="8"/>
      <c r="W7" s="6"/>
      <c r="X7" s="6"/>
    </row>
    <row r="8" spans="1:72" ht="39.75" customHeight="1" x14ac:dyDescent="0.35">
      <c r="A8" s="1030" t="s">
        <v>4</v>
      </c>
      <c r="B8" s="1030"/>
      <c r="C8" s="1030"/>
      <c r="D8" s="1030"/>
      <c r="E8" s="82"/>
      <c r="F8" s="1047" t="str">
        <f>[15]IdentRiesgo!B3</f>
        <v>Asegurar la oportuna provisión de recursos financieros necesarios para el autosostenimiento y desempeño eficaz y eficiente de la gestión financiera de la entidad mediante el registro de la ejecución presupuestal, la presentación de estados financieros y el recaudo de los ingresos y el pago de los compromisos.</v>
      </c>
      <c r="G8" s="1048"/>
      <c r="H8" s="1048"/>
      <c r="I8" s="1048"/>
      <c r="J8" s="1048"/>
      <c r="K8" s="1048"/>
      <c r="L8" s="1048"/>
      <c r="M8" s="1048"/>
      <c r="N8" s="1048"/>
      <c r="O8" s="1048"/>
      <c r="P8" s="1048"/>
      <c r="Q8" s="1048"/>
      <c r="R8" s="1048"/>
      <c r="S8" s="1048"/>
      <c r="T8" s="1048"/>
      <c r="U8" s="1048"/>
      <c r="V8" s="1049"/>
      <c r="W8" s="9"/>
      <c r="X8" s="9"/>
    </row>
    <row r="9" spans="1:72" ht="6.75" customHeight="1" x14ac:dyDescent="0.35">
      <c r="B9" s="10"/>
      <c r="C9" s="10"/>
      <c r="D9" s="10"/>
      <c r="E9" s="10"/>
      <c r="F9" s="11"/>
      <c r="G9" s="11"/>
      <c r="H9" s="11"/>
      <c r="I9" s="11"/>
      <c r="J9" s="11"/>
      <c r="K9" s="11"/>
      <c r="L9" s="11"/>
      <c r="M9" s="11"/>
      <c r="N9" s="11"/>
      <c r="O9" s="11"/>
      <c r="P9" s="11"/>
      <c r="Q9" s="11"/>
      <c r="R9" s="8"/>
      <c r="S9" s="8"/>
      <c r="T9" s="8"/>
      <c r="U9" s="8"/>
      <c r="V9" s="8"/>
      <c r="W9" s="6"/>
      <c r="X9" s="6"/>
    </row>
    <row r="10" spans="1:72" x14ac:dyDescent="0.35">
      <c r="A10" s="1030" t="s">
        <v>5</v>
      </c>
      <c r="B10" s="1030"/>
      <c r="C10" s="1030"/>
      <c r="D10" s="1030"/>
      <c r="E10" s="82"/>
      <c r="F10" s="1031" t="s">
        <v>60</v>
      </c>
      <c r="G10" s="1032"/>
      <c r="H10" s="1032"/>
      <c r="I10" s="1032"/>
      <c r="J10" s="1032"/>
      <c r="K10" s="1032"/>
      <c r="L10" s="1032"/>
      <c r="M10" s="1032"/>
      <c r="N10" s="1032"/>
      <c r="O10" s="1032"/>
      <c r="P10" s="1032"/>
      <c r="Q10" s="1032"/>
      <c r="R10" s="1032"/>
      <c r="S10" s="1032"/>
      <c r="T10" s="1032"/>
      <c r="U10" s="1032"/>
      <c r="V10" s="1033"/>
      <c r="W10" s="12"/>
      <c r="X10" s="12"/>
    </row>
    <row r="11" spans="1:72" ht="5.25" customHeight="1" x14ac:dyDescent="0.35">
      <c r="B11" s="3"/>
      <c r="C11" s="3"/>
      <c r="D11" s="3"/>
      <c r="E11" s="3"/>
      <c r="F11" s="13"/>
      <c r="G11" s="13"/>
      <c r="H11" s="13"/>
      <c r="I11" s="13"/>
      <c r="J11" s="13"/>
      <c r="K11" s="13"/>
      <c r="L11" s="13"/>
      <c r="M11" s="13"/>
      <c r="N11" s="13"/>
      <c r="O11" s="13"/>
      <c r="P11" s="13"/>
      <c r="Q11" s="13"/>
      <c r="R11" s="8"/>
      <c r="S11" s="8"/>
      <c r="T11" s="8"/>
      <c r="U11" s="8"/>
      <c r="V11" s="8"/>
      <c r="W11" s="6"/>
      <c r="X11" s="6"/>
    </row>
    <row r="12" spans="1:72" x14ac:dyDescent="0.35">
      <c r="A12" s="1030" t="s">
        <v>6</v>
      </c>
      <c r="B12" s="1030"/>
      <c r="C12" s="1030"/>
      <c r="D12" s="1030"/>
      <c r="E12" s="82"/>
      <c r="F12" s="1031" t="s">
        <v>92</v>
      </c>
      <c r="G12" s="1032"/>
      <c r="H12" s="1032"/>
      <c r="I12" s="1032"/>
      <c r="J12" s="1032"/>
      <c r="K12" s="1032"/>
      <c r="L12" s="1032"/>
      <c r="M12" s="1032"/>
      <c r="N12" s="1032"/>
      <c r="O12" s="1032"/>
      <c r="P12" s="1032"/>
      <c r="Q12" s="1032"/>
      <c r="R12" s="1032"/>
      <c r="S12" s="1032"/>
      <c r="T12" s="1032"/>
      <c r="U12" s="1032"/>
      <c r="V12" s="1033"/>
      <c r="W12" s="12"/>
      <c r="X12" s="12"/>
      <c r="AA12" s="2" t="s">
        <v>7</v>
      </c>
    </row>
    <row r="13" spans="1:72" ht="14.5" thickBot="1" x14ac:dyDescent="0.4">
      <c r="B13" s="3"/>
      <c r="C13" s="3"/>
      <c r="D13" s="3"/>
      <c r="E13" s="3"/>
      <c r="F13" s="14"/>
      <c r="G13" s="14"/>
      <c r="H13" s="15"/>
      <c r="I13" s="15"/>
      <c r="J13" s="15"/>
      <c r="K13" s="7"/>
      <c r="L13" s="15"/>
      <c r="M13" s="7"/>
      <c r="N13" s="7"/>
      <c r="O13" s="7"/>
      <c r="P13" s="7"/>
      <c r="Q13" s="7"/>
      <c r="R13" s="7"/>
      <c r="S13" s="15"/>
      <c r="T13" s="7"/>
      <c r="W13" s="6"/>
      <c r="X13" s="6"/>
      <c r="AA13" s="2"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16"/>
      <c r="J14" s="16"/>
      <c r="K14" s="1039" t="s">
        <v>13</v>
      </c>
      <c r="L14" s="1035" t="s">
        <v>14</v>
      </c>
      <c r="M14" s="1036"/>
      <c r="N14" s="1037"/>
      <c r="O14" s="176"/>
      <c r="P14" s="1042" t="s">
        <v>15</v>
      </c>
      <c r="Q14" s="1042"/>
      <c r="R14" s="1042"/>
      <c r="S14" s="1042" t="s">
        <v>16</v>
      </c>
      <c r="T14" s="1042"/>
      <c r="U14" s="1042"/>
      <c r="V14" s="1042"/>
    </row>
    <row r="15" spans="1:72" s="17" customFormat="1" ht="14.25" customHeight="1" x14ac:dyDescent="0.35">
      <c r="A15" s="1040" t="s">
        <v>17</v>
      </c>
      <c r="B15" s="1040" t="s">
        <v>18</v>
      </c>
      <c r="C15" s="177"/>
      <c r="D15" s="1040" t="s">
        <v>19</v>
      </c>
      <c r="E15" s="177"/>
      <c r="F15" s="1018" t="s">
        <v>20</v>
      </c>
      <c r="G15" s="1018"/>
      <c r="H15" s="1018"/>
      <c r="I15" s="180"/>
      <c r="J15" s="18"/>
      <c r="K15" s="1040"/>
      <c r="L15" s="1023" t="s">
        <v>21</v>
      </c>
      <c r="M15" s="1024"/>
      <c r="N15" s="1025"/>
      <c r="O15" s="182"/>
      <c r="P15" s="1023" t="s">
        <v>22</v>
      </c>
      <c r="Q15" s="1024"/>
      <c r="R15" s="1025"/>
      <c r="S15" s="1018" t="s">
        <v>23</v>
      </c>
      <c r="T15" s="1018" t="s">
        <v>24</v>
      </c>
      <c r="U15" s="1018" t="s">
        <v>5</v>
      </c>
      <c r="V15" s="1018" t="s">
        <v>25</v>
      </c>
    </row>
    <row r="16" spans="1:72" s="17" customFormat="1" ht="63" customHeight="1" thickBot="1" x14ac:dyDescent="0.4">
      <c r="A16" s="1043"/>
      <c r="B16" s="1043"/>
      <c r="C16" s="179" t="s">
        <v>96</v>
      </c>
      <c r="D16" s="1043"/>
      <c r="E16" s="179" t="s">
        <v>97</v>
      </c>
      <c r="F16" s="18" t="s">
        <v>26</v>
      </c>
      <c r="G16" s="180" t="s">
        <v>96</v>
      </c>
      <c r="H16" s="18" t="s">
        <v>10</v>
      </c>
      <c r="I16" s="180" t="s">
        <v>96</v>
      </c>
      <c r="J16" s="18" t="s">
        <v>27</v>
      </c>
      <c r="K16" s="1041"/>
      <c r="L16" s="19" t="s">
        <v>26</v>
      </c>
      <c r="M16" s="19" t="s">
        <v>10</v>
      </c>
      <c r="N16" s="20" t="s">
        <v>27</v>
      </c>
      <c r="O16" s="179" t="s">
        <v>100</v>
      </c>
      <c r="P16" s="18" t="s">
        <v>28</v>
      </c>
      <c r="Q16" s="18" t="s">
        <v>24</v>
      </c>
      <c r="R16" s="18" t="s">
        <v>29</v>
      </c>
      <c r="S16" s="1018"/>
      <c r="T16" s="1018"/>
      <c r="U16" s="1018"/>
      <c r="V16" s="1018"/>
    </row>
    <row r="17" spans="1:70" ht="153.75" customHeight="1" x14ac:dyDescent="0.35">
      <c r="A17" s="297" t="s">
        <v>206</v>
      </c>
      <c r="B17" s="298" t="s">
        <v>207</v>
      </c>
      <c r="C17" s="299" t="s">
        <v>208</v>
      </c>
      <c r="D17" s="300" t="s">
        <v>209</v>
      </c>
      <c r="E17" s="301" t="s">
        <v>106</v>
      </c>
      <c r="F17" s="868">
        <v>3</v>
      </c>
      <c r="G17" s="869" t="s">
        <v>107</v>
      </c>
      <c r="H17" s="870">
        <v>4</v>
      </c>
      <c r="I17" s="871" t="s">
        <v>108</v>
      </c>
      <c r="J17" s="872" t="s">
        <v>53</v>
      </c>
      <c r="K17" s="302" t="s">
        <v>210</v>
      </c>
      <c r="L17" s="1087" t="s">
        <v>10</v>
      </c>
      <c r="M17" s="1088"/>
      <c r="N17" s="873" t="s">
        <v>51</v>
      </c>
      <c r="O17" s="303" t="s">
        <v>211</v>
      </c>
      <c r="P17" s="304" t="s">
        <v>70</v>
      </c>
      <c r="Q17" s="305" t="s">
        <v>212</v>
      </c>
      <c r="R17" s="306" t="s">
        <v>213</v>
      </c>
      <c r="S17" s="874">
        <v>42947</v>
      </c>
      <c r="T17" s="875" t="s">
        <v>509</v>
      </c>
      <c r="U17" s="27" t="s">
        <v>214</v>
      </c>
      <c r="V17" s="390" t="s">
        <v>224</v>
      </c>
      <c r="X17" s="28" t="str">
        <f>IF(AND(F17=1,H17=5),$H$25,IF(AND(F17=1,H17=10),$J$25,IF(AND(F17=1,H17=20),$K$25," ")))</f>
        <v xml:space="preserve"> </v>
      </c>
      <c r="Y17" s="28" t="str">
        <f>IF(AND(F17=2,H17=5),$H$26,IF(AND(F17=2,H17=10),$J$26,IF(AND(F17=2,H17=20),$K$26," ")))</f>
        <v xml:space="preserve"> </v>
      </c>
      <c r="Z17" s="28" t="str">
        <f>IF(AND(F17=3,H17=5),$H$27,IF(AND(F17=3,H17=10),$J$27,IF(AND(F17=3,H17=20),$K$27," ")))</f>
        <v xml:space="preserve"> </v>
      </c>
      <c r="AA17" s="28" t="str">
        <f>IF(AND(F17=4,H17=5),$H$28,IF(AND(F17=4,H17=10),$J$28,IF(AND(F17=4,H17=20),$K$28," ")))</f>
        <v xml:space="preserve"> </v>
      </c>
      <c r="AB17" s="28" t="str">
        <f>IF(AND(F17=5,H17=5),$H$29,IF(AND(F17=5,H17=10),$J$29,IF(AND(F17=5,H17=20),$K$29," ")))</f>
        <v xml:space="preserve"> </v>
      </c>
      <c r="AD17" s="29" t="s">
        <v>31</v>
      </c>
      <c r="AE17" s="28" t="str">
        <f>IF(AND(L17&gt;0,'[15]EvaluaciónRiesgoCorrup 1'!$F$11&gt;75,F17=1,H17=5),$H$25,IF(AND(L17&gt;0,'[15]EvaluaciónRiesgoCorrup 1'!$F$11&gt;75,F17=1,H17=10),$J$25,IF(AND(L17&gt;0,'[15]EvaluaciónRiesgoCorrup 1'!$F$11&gt;75,F17=1,H17=20),$K$25," ")))</f>
        <v xml:space="preserve"> </v>
      </c>
      <c r="AF17" s="28" t="str">
        <f>IF(AND(L17&gt;0,'[15]EvaluaciónRiesgoCorrup 1'!$F$11&gt;75,F17=2,H17=5),$H$25,IF(AND(L17&gt;0,'[15]EvaluaciónRiesgoCorrup 1'!$F$11&gt;75,F17=2,H17=10),$J$25,IF(AND(L17&gt;0,'[15]EvaluaciónRiesgoCorrup 1'!$F$11&gt;75,F17=2,H17=20),$K$25," ")))</f>
        <v xml:space="preserve"> </v>
      </c>
      <c r="AG17" s="28" t="str">
        <f>IF(AND(L17&gt;0,'[15]EvaluaciónRiesgoCorrup 1'!$F$11&gt;75,F17=3,H17=5),$H$25,IF(AND(L17&gt;0,'[15]EvaluaciónRiesgoCorrup 1'!$F$11&gt;75,F17=3,H17=10),$J$25,IF(AND(L17&gt;0,'[15]EvaluaciónRiesgoCorrup 1'!$F$11&gt;75,F17=3,H17=20),$K$25," ")))</f>
        <v xml:space="preserve"> </v>
      </c>
      <c r="AH17" s="28" t="str">
        <f>IF(AND(L17&gt;0,'[15]EvaluaciónRiesgoCorrup 1'!$F$11&gt;75,F17=4,H17=5),$H$26,IF(AND(L17&gt;0,'[15]EvaluaciónRiesgoCorrup 1'!$F$11&gt;75,F17=4,H17=10),$J$26,IF(AND(L17&gt;0,'[15]EvaluaciónRiesgoCorrup 1'!$F$11&gt;75,F17=4,H17=20),$K$26," ")))</f>
        <v xml:space="preserve"> </v>
      </c>
      <c r="AI17" s="28" t="str">
        <f>IF(AND(L17&gt;0,'[15]EvaluaciónRiesgoCorrup 1'!$F$11&gt;75,F17=5,H17=5),$H$27,IF(AND(L17&gt;0,'[15]EvaluaciónRiesgoCorrup 1'!$F$11&gt;75,F17=5,H17=10),$J$27,IF(AND(L17&gt;0,'[15]EvaluaciónRiesgoCorrup 1'!$F$11&gt;75,F17=5,H17=20),$K$27," ")))</f>
        <v xml:space="preserve"> </v>
      </c>
      <c r="AJ17" s="29" t="s">
        <v>32</v>
      </c>
      <c r="AK17" s="28" t="str">
        <f>IF(AND(L17&gt;0,'[15]EvaluaciónRiesgoCorrup 1'!$F$11&gt;50,'[15]EvaluaciónRiesgoCorrup 1'!$F$11&lt;76,F17=1,H17=5),$H$25,IF(AND(L17&gt;0,'[15]EvaluaciónRiesgoCorrup 1'!$F$11&gt;50,'[15]EvaluaciónRiesgoCorrup 1'!$F$11&lt;76,F17=1,H17=10),$J$25,IF(AND(L17&gt;0,'[15]EvaluaciónRiesgoCorrup 1'!$F$11&gt;50,'[15]EvaluaciónRiesgoCorrup 1'!$F$11&lt;76,F17=1,H17=20),$K$25," ")))</f>
        <v xml:space="preserve"> </v>
      </c>
      <c r="AL17" s="28" t="str">
        <f>IF(AND(L17&gt;0,'[15]EvaluaciónRiesgoCorrup 1'!$F$11&gt;50,'[15]EvaluaciónRiesgoCorrup 1'!$F$11&lt;76,F17=2,H17=5),$H$25,IF(AND(L17&gt;0,'[15]EvaluaciónRiesgoCorrup 1'!$F$11&gt;50,'[15]EvaluaciónRiesgoCorrup 1'!$F$11&lt;76,F17=2,H17=10),$J$25,IF(AND(L17&gt;0,'[15]EvaluaciónRiesgoCorrup 1'!$F$11&gt;50,'[15]EvaluaciónRiesgoCorrup 1'!$F$11&lt;76,F17=2,H17=20),$K$25," ")))</f>
        <v xml:space="preserve"> </v>
      </c>
      <c r="AM17" s="28" t="str">
        <f>IF(AND(L17&gt;0,'[15]EvaluaciónRiesgoCorrup 1'!$F$11&gt;50,'[15]EvaluaciónRiesgoCorrup 1'!$F$11&lt;76,F17=3,H17=5),$H$26,IF(AND(L17&gt;0,'[15]EvaluaciónRiesgoCorrup 1'!$F$11&gt;50,'[15]EvaluaciónRiesgoCorrup 1'!$F$11&lt;76,F17=3,H17=10),$J$26,IF(AND(L17&gt;0,'[15]EvaluaciónRiesgoCorrup 1'!$F$11&gt;50,'[15]EvaluaciónRiesgoCorrup 1'!$F$11&lt;76,F17=3,H17=20),$K$26," ")))</f>
        <v xml:space="preserve"> </v>
      </c>
      <c r="AN17" s="28" t="str">
        <f>IF(AND(L17&gt;0,'[15]EvaluaciónRiesgoCorrup 1'!$F$11&gt;50,'[15]EvaluaciónRiesgoCorrup 1'!$F$11&lt;76,F17=4,H17=5),$H$27,IF(AND(L17&gt;0,'[15]EvaluaciónRiesgoCorrup 1'!$F$11&gt;50,'[15]EvaluaciónRiesgoCorrup 1'!$F$11&lt;76,F17=4,H17=10),$J$27,IF(AND(L17&gt;0,'[15]EvaluaciónRiesgoCorrup 1'!$F$11&gt;50,'[15]EvaluaciónRiesgoCorrup 1'!$F$11&lt;76,F17=4,H17=20),$K$27," ")))</f>
        <v xml:space="preserve"> </v>
      </c>
      <c r="AO17" s="28" t="str">
        <f>IF(AND(L17&gt;0,'[15]EvaluaciónRiesgoCorrup 1'!$F$11&gt;50,'[15]EvaluaciónRiesgoCorrup 1'!$F$11&lt;76,F17=5,H17=5),$H$28,IF(AND(L17&gt;0,'[15]EvaluaciónRiesgoCorrup 1'!$F$11&gt;50,'[15]EvaluaciónRiesgoCorrup 1'!$F$11&lt;76,F17=5,H17=10),$J$28,IF(AND(L17&gt;0,'[15]EvaluaciónRiesgoCorrup 1'!$F$11&gt;50,'[15]EvaluaciónRiesgoCorrup 1'!$F$11&lt;76,F17=5,H17=20),$K$28," ")))</f>
        <v xml:space="preserve"> </v>
      </c>
      <c r="AQ17" s="29" t="s">
        <v>33</v>
      </c>
      <c r="AR17" s="28" t="str">
        <f>IF(AND(L17&gt;0,'[15]EvaluaciónRiesgoCorrup 1'!$F$11&lt;51,F17=1,H17=5),$H$25,IF(AND(L17&gt;0,'[15]EvaluaciónRiesgoCorrup 1'!$F$11&lt;51,F17=1,H17=10),$J$25,IF(AND(L17&gt;0,'[15]EvaluaciónRiesgoCorrup 1'!$F$11&lt;51,F17=1,H17=20),K$25," ")))</f>
        <v xml:space="preserve"> </v>
      </c>
      <c r="AS17" s="28" t="str">
        <f>IF(AND(L17&gt;0,'[15]EvaluaciónRiesgoCorrup 1'!$F$11&lt;51,F17=2,H17=5),$H$26,IF(AND(L17&gt;0,'[15]EvaluaciónRiesgoCorrup 1'!$F$11&lt;51,F17=2,H17=10),$J$26,IF(AND(L17&gt;0,'[15]EvaluaciónRiesgoCorrup 1'!$F$11&lt;51,F17=2,H17=20),K$26," ")))</f>
        <v xml:space="preserve"> </v>
      </c>
      <c r="AT17" s="28" t="str">
        <f>IF(AND(L17&gt;0,'[15]EvaluaciónRiesgoCorrup 1'!$F$11&lt;51,F17=3,H17=5),$H$27,IF(AND(L17&gt;0,'[15]EvaluaciónRiesgoCorrup 1'!$F$11&lt;51,F17=3,H17=10),$J$27,IF(AND(L17&gt;0,'[15]EvaluaciónRiesgoCorrup 1'!$F$11&lt;51,F17=3,H17=20),K$27," ")))</f>
        <v xml:space="preserve"> </v>
      </c>
      <c r="AU17" s="28" t="str">
        <f>IF(AND(L17&gt;0,'[15]EvaluaciónRiesgoCorrup 1'!$F$11&lt;51,F17=4,H17=5),$H$28,IF(AND(L17&gt;0,'[15]EvaluaciónRiesgoCorrup 1'!$F$11&lt;51,F17=4,H17=10),$J$28,IF(AND(L17&gt;0,'[15]EvaluaciónRiesgoCorrup 1'!$F$11&lt;51,F17=4,H17=20),K$28," ")))</f>
        <v xml:space="preserve"> </v>
      </c>
      <c r="AV17" s="28" t="str">
        <f>IF(AND(L17&gt;0,'[15]EvaluaciónRiesgoCorrup 1'!$F$11&lt;51,F17=5,H17=5),$H$29,IF(AND(L17&gt;0,'[15]EvaluaciónRiesgoCorrup 1'!$F$11&lt;51,F17=5,H17=10),$J$29,IF(AND(L17&gt;0,'[15]EvaluaciónRiesgoCorrup 1'!$F$11&lt;51,F17=5,H17=20),K$29," ")))</f>
        <v xml:space="preserve"> </v>
      </c>
      <c r="AY17" s="29" t="s">
        <v>31</v>
      </c>
      <c r="AZ17" s="28" t="str">
        <f>IF(AND(M17&gt;0,'[15]EvaluaciónRiesgoCorrup 1'!$F$11&gt;75,F17=1,H17=5),$H$25,IF(AND(M17&gt;0,'[15]EvaluaciónRiesgoCorrup 1'!$F$11&gt;75,F17=1,H17=10),$H$25,IF(AND(M17&gt;0,'[15]EvaluaciónRiesgoCorrup 1'!$F$11&gt;75,F17=1,H17=20),$H$25," ")))</f>
        <v xml:space="preserve"> </v>
      </c>
      <c r="BA17" s="28" t="str">
        <f>IF(AND(M17&gt;0,'[15]EvaluaciónRiesgoCorrup 1'!$F$11&gt;75,F17=2,H17=5),$H$26,IF(AND(M17&gt;0,'[15]EvaluaciónRiesgoCorrup 1'!$F$11&gt;75,F17=2,H17=10),$H$26,IF(AND(M17&gt;0,'[15]EvaluaciónRiesgoCorrup 1'!$F$11&gt;75,F17=2,H17=20),$H$26," ")))</f>
        <v xml:space="preserve"> </v>
      </c>
      <c r="BB17" s="28" t="str">
        <f>IF(AND(M17&gt;0,'[15]EvaluaciónRiesgoCorrup 1'!$F$11&gt;75,F17=3,H17=5),$H$27,IF(AND(M17&gt;0,'[15]EvaluaciónRiesgoCorrup 1'!$F$11&gt;75,F17=3,H17=10),$H$27,IF(AND(M17&gt;0,'[15]EvaluaciónRiesgoCorrup 1'!$F$11&gt;75,F17=3,H17=20),$H$27," ")))</f>
        <v xml:space="preserve"> </v>
      </c>
      <c r="BC17" s="28" t="str">
        <f>IF(AND(M17&gt;0,'[15]EvaluaciónRiesgoCorrup 1'!$F$11&gt;75,F17=4,H17=5),$H$28,IF(AND(M17&gt;0,'[15]EvaluaciónRiesgoCorrup 1'!$F$11&gt;75,F17=4,H17=10),$H$28,IF(AND(M17&gt;0,'[15]EvaluaciónRiesgoCorrup 1'!$F$11&gt;75,F17=4,H17=20),$H$28," ")))</f>
        <v xml:space="preserve"> </v>
      </c>
      <c r="BD17" s="28" t="str">
        <f>IF(AND(M17&gt;0,'[15]EvaluaciónRiesgoCorrup 1'!$F$11&gt;75,F17=5,H17=5),$H$29,IF(AND(M17&gt;0,'[15]EvaluaciónRiesgoCorrup 1'!$F$11&gt;75,F17=5,H17=10),$H$29,IF(AND(M17&gt;0,'[15]EvaluaciónRiesgoCorrup 1'!$F$11&gt;75,F17=5,H17=20),$H$29," ")))</f>
        <v xml:space="preserve"> </v>
      </c>
      <c r="BF17" s="29" t="s">
        <v>32</v>
      </c>
      <c r="BG17" s="28" t="str">
        <f>IF(AND(M17&gt;0,'[15]EvaluaciónRiesgoCorrup 1'!$F$11&gt;50,'[15]EvaluaciónRiesgoCorrup 1'!$F$11&lt;76,F17=1,H17=5),$H$25,IF(AND(M17&gt;0,'[15]EvaluaciónRiesgoCorrup 1'!$F$11&gt;50,'[15]EvaluaciónRiesgoCorrup 1'!$F$11&lt;76,F17=1,H17=10),$H$25,IF(AND(M17&gt;0,'[15]EvaluaciónRiesgoCorrup 1'!$F$11&gt;50,'[15]EvaluaciónRiesgoCorrup 1'!$F$11&lt;76,F17=1,H17=20),$J$25," ")))</f>
        <v xml:space="preserve"> </v>
      </c>
      <c r="BH17" s="28" t="str">
        <f>IF(AND(M17&gt;0,'[15]EvaluaciónRiesgoCorrup 1'!$F$11&gt;50,'[15]EvaluaciónRiesgoCorrup 1'!$F$11&lt;76,F17=2,H17=5),$H$26,IF(AND(M17&gt;0,'[15]EvaluaciónRiesgoCorrup 1'!$F$11&gt;50,'[15]EvaluaciónRiesgoCorrup 1'!$F$11&lt;76,F17=2,H17=10),$H$26,IF(AND(M17&gt;0,'[15]EvaluaciónRiesgoCorrup 1'!$F$11&gt;50,'[15]EvaluaciónRiesgoCorrup 1'!$F$11&lt;76,F17=2,H17=20),$J$26," ")))</f>
        <v xml:space="preserve"> </v>
      </c>
      <c r="BI17" s="28" t="str">
        <f>IF(AND(M17&gt;0,'[15]EvaluaciónRiesgoCorrup 1'!$F$11&gt;50,'[15]EvaluaciónRiesgoCorrup 1'!$F$11&lt;76,F17=3,H17=5),$H$27,IF(AND(M17&gt;0,'[15]EvaluaciónRiesgoCorrup 1'!$F$11&gt;50,'[15]EvaluaciónRiesgoCorrup 1'!$F$11&lt;76,F17=3,H17=10),$H$27,IF(AND(M17&gt;0,'[15]EvaluaciónRiesgoCorrup 1'!$F$11&gt;50,'[15]EvaluaciónRiesgoCorrup 1'!$F$11&lt;76,F17=3,H17=20),$J$27," ")))</f>
        <v xml:space="preserve"> </v>
      </c>
      <c r="BJ17" s="28" t="str">
        <f>IF(AND(M17&gt;0,'[15]EvaluaciónRiesgoCorrup 1'!$F$11&gt;50,'[15]EvaluaciónRiesgoCorrup 1'!$F$11&lt;76,F17=4,H17=5),$H$28,IF(AND(M17&gt;0,'[15]EvaluaciónRiesgoCorrup 1'!$F$11&gt;50,'[15]EvaluaciónRiesgoCorrup 1'!$F$11&lt;76,F17=4,H17=10),$H$28,IF(AND(M17&gt;0,'[15]EvaluaciónRiesgoCorrup 1'!$F$11&gt;50,'[15]EvaluaciónRiesgoCorrup 1'!$F$11&lt;76,F17=4,H17=20),$J$28," ")))</f>
        <v xml:space="preserve"> </v>
      </c>
      <c r="BK17" s="28" t="str">
        <f>IF(AND(M17&gt;0,'[15]EvaluaciónRiesgoCorrup 1'!$F$11&gt;50,'[15]EvaluaciónRiesgoCorrup 1'!$F$11&lt;76,F17=5,H17=5),$H$29,IF(AND(M17&gt;0,'[15]EvaluaciónRiesgoCorrup 1'!$F$11&gt;50,'[15]EvaluaciónRiesgoCorrup 1'!$F$11&lt;76,F17=5,H17=10),$H$29,IF(AND(M17&gt;0,'[15]EvaluaciónRiesgoCorrup 1'!$F$11&gt;50,'[15]EvaluaciónRiesgoCorrup 1'!$F$11&lt;76,F17=5,H17=20),$J$29," ")))</f>
        <v xml:space="preserve"> </v>
      </c>
      <c r="BM17" s="29" t="s">
        <v>33</v>
      </c>
      <c r="BN17" s="28" t="str">
        <f>IF(AND(M17&gt;0,'[15]EvaluaciónRiesgoCorrup 1'!$F$11&lt;51,F17=1,H17=5),$H$25,IF(AND(M17&gt;0,'[15]EvaluaciónRiesgoCorrup 1'!$F$11&lt;51,F17=1,H17=10),$J$25,IF(AND(M17&gt;0,'[15]EvaluaciónRiesgoCorrup 1'!$F$11&lt;51,F17=1,H17=20),$K$25," ")))</f>
        <v xml:space="preserve"> </v>
      </c>
      <c r="BO17" s="28" t="str">
        <f>IF(AND(M17&gt;0,'[15]EvaluaciónRiesgoCorrup 1'!$F$11&lt;51,F17=2,H17=5),$H$26,IF(AND(M17&gt;0,'[15]EvaluaciónRiesgoCorrup 1'!$F$11&lt;51,F17=2,H17=10),$J$26,IF(AND(M17&gt;0,'[15]EvaluaciónRiesgoCorrup 1'!$F$11&lt;51,F17=2,H17=20),$K$26," ")))</f>
        <v xml:space="preserve"> </v>
      </c>
      <c r="BP17" s="28" t="str">
        <f>IF(AND(M17&gt;0,'[15]EvaluaciónRiesgoCorrup 1'!$F$11&lt;51,F17=3,H17=5),$H$27,IF(AND(M17&gt;0,'[15]EvaluaciónRiesgoCorrup 1'!$F$11&lt;51,F17=3,H17=10),$J$27,IF(AND(M17&gt;0,'[15]EvaluaciónRiesgoCorrup 1'!$F$11&lt;51,F17=3,H17=20),$K$27," ")))</f>
        <v xml:space="preserve"> </v>
      </c>
      <c r="BQ17" s="28" t="str">
        <f>IF(AND(M17&gt;0,'[15]EvaluaciónRiesgoCorrup 1'!$F$11&lt;51,F17=4,H17=5),$H$28,IF(AND(M17&gt;0,'[15]EvaluaciónRiesgoCorrup 1'!$F$11&lt;51,F17=4,H17=10),$J$28,IF(AND(M17&gt;0,'[15]EvaluaciónRiesgoCorrup 1'!$F$11&lt;51,F17=4,H17=20),$K$28," ")))</f>
        <v xml:space="preserve"> </v>
      </c>
      <c r="BR17" s="28" t="str">
        <f>IF(AND(M17&gt;0,'[15]EvaluaciónRiesgoCorrup 1'!$F$11&lt;51,F17=5,H17=5),$H$29,IF(AND(M17&gt;0,'[15]EvaluaciónRiesgoCorrup 1'!$F$11&lt;51,F17=5,H17=10),$J$29,IF(AND(M17&gt;0,'[15]EvaluaciónRiesgoCorrup 1'!$F$11&lt;51,F17=5,H17=20),$K$29," ")))</f>
        <v xml:space="preserve"> </v>
      </c>
    </row>
    <row r="18" spans="1:70" ht="153.75" customHeight="1" x14ac:dyDescent="0.35">
      <c r="A18" s="307" t="s">
        <v>215</v>
      </c>
      <c r="B18" s="308" t="s">
        <v>216</v>
      </c>
      <c r="C18" s="309" t="s">
        <v>217</v>
      </c>
      <c r="D18" s="310" t="s">
        <v>209</v>
      </c>
      <c r="E18" s="311" t="s">
        <v>106</v>
      </c>
      <c r="F18" s="876">
        <v>2</v>
      </c>
      <c r="G18" s="877" t="s">
        <v>152</v>
      </c>
      <c r="H18" s="312">
        <v>3</v>
      </c>
      <c r="I18" s="313" t="s">
        <v>117</v>
      </c>
      <c r="J18" s="314" t="s">
        <v>49</v>
      </c>
      <c r="K18" s="315" t="s">
        <v>218</v>
      </c>
      <c r="L18" s="1087" t="s">
        <v>10</v>
      </c>
      <c r="M18" s="1088"/>
      <c r="N18" s="316" t="s">
        <v>48</v>
      </c>
      <c r="O18" s="317" t="s">
        <v>211</v>
      </c>
      <c r="P18" s="318" t="s">
        <v>70</v>
      </c>
      <c r="Q18" s="319" t="s">
        <v>219</v>
      </c>
      <c r="R18" s="320" t="s">
        <v>220</v>
      </c>
      <c r="S18" s="879">
        <v>42947</v>
      </c>
      <c r="T18" s="321" t="s">
        <v>221</v>
      </c>
      <c r="U18" s="322" t="s">
        <v>222</v>
      </c>
      <c r="V18" s="389" t="s">
        <v>223</v>
      </c>
      <c r="X18" s="28" t="str">
        <f>IF(AND(F18=1,H18=5),$H$25,IF(AND(F18=1,H18=10),$J$25,IF(AND(F18=1,H18=20),$K$25," ")))</f>
        <v xml:space="preserve"> </v>
      </c>
      <c r="Y18" s="28" t="str">
        <f>IF(AND(F18=2,H18=5),$H$26,IF(AND(F18=2,H18=10),$J$26,IF(AND(F18=2,H18=20),$K$26," ")))</f>
        <v xml:space="preserve"> </v>
      </c>
      <c r="Z18" s="28" t="str">
        <f>IF(AND(F18=3,H18=5),$H$27,IF(AND(F18=3,H18=10),$J$27,IF(AND(F18=3,H18=20),$K$27," ")))</f>
        <v xml:space="preserve"> </v>
      </c>
      <c r="AA18" s="28" t="str">
        <f>IF(AND(F18=4,H18=5),$H$28,IF(AND(F18=4,H18=10),$J$28,IF(AND(F18=4,H18=20),$K$28," ")))</f>
        <v xml:space="preserve"> </v>
      </c>
      <c r="AB18" s="28" t="str">
        <f>IF(AND(F18=5,H18=5),$H$29,IF(AND(F18=5,H18=10),$J$29,IF(AND(F18=5,H18=20),$K$29," ")))</f>
        <v xml:space="preserve"> </v>
      </c>
      <c r="AE18" s="28" t="str">
        <f>IF(AND(L18&gt;0,'[15]EvaluaciónRiesgoCorrup  (2)'!$F$11&gt;75,F18=1,H18=5),$H$25,IF(AND(L18&gt;0,'[15]EvaluaciónRiesgoCorrup  (2)'!$F$11&gt;75,F18=1,H18=10),$J$25,IF(AND(L18&gt;0,'[15]EvaluaciónRiesgoCorrup  (2)'!$F$11&gt;75,F18=1,H18=20),$K$25," ")))</f>
        <v xml:space="preserve"> </v>
      </c>
      <c r="AF18" s="28" t="str">
        <f>IF(AND(L18&gt;0,'[15]EvaluaciónRiesgoCorrup  (2)'!$F$11&gt;75,F18=2,H18=5),$H$25,IF(AND(L18&gt;0,'[15]EvaluaciónRiesgoCorrup  (2)'!$F$11&gt;75,F18=2,H18=10),$J$25,IF(AND(L18&gt;0,'[15]EvaluaciónRiesgoCorrup  (2)'!$F$11&gt;75,F18=2,H18=20),$K$25," ")))</f>
        <v xml:space="preserve"> </v>
      </c>
      <c r="AG18" s="28" t="str">
        <f>IF(AND(L18&gt;0,'[15]EvaluaciónRiesgoCorrup  (2)'!$F$11&gt;75,F18=3,H18=5),$H$25,IF(AND(L18&gt;0,'[15]EvaluaciónRiesgoCorrup  (2)'!$F$11&gt;75,F18=3,H18=10),$J$25,IF(AND(L18&gt;0,'[15]EvaluaciónRiesgoCorrup  (2)'!$F$11&gt;75,F18=3,H18=20),$K$25," ")))</f>
        <v xml:space="preserve"> </v>
      </c>
      <c r="AH18" s="28" t="str">
        <f>IF(AND(L18&gt;0,'[15]EvaluaciónRiesgoCorrup  (2)'!$F$11&gt;75,F18=4,H18=5),$H$26,IF(AND(L18&gt;0,'[15]EvaluaciónRiesgoCorrup  (2)'!$F$11&gt;75,F18=4,H18=10),$J$26,IF(AND(L18&gt;0,'[15]EvaluaciónRiesgoCorrup  (2)'!$F$11&gt;75,F18=4,H18=20),$K$26," ")))</f>
        <v xml:space="preserve"> </v>
      </c>
      <c r="AI18" s="28" t="str">
        <f>IF(AND(L18&gt;0,'[15]EvaluaciónRiesgoCorrup  (2)'!$F$11&gt;75,F18=5,H18=5),$H$27,IF(AND(L18&gt;0,'[15]EvaluaciónRiesgoCorrup  (2)'!$F$11&gt;75,F18=5,H18=10),$J$27,IF(AND(L18&gt;0,'[15]EvaluaciónRiesgoCorrup  (2)'!$F$11&gt;75,F18=5,H18=20),$K$27," ")))</f>
        <v xml:space="preserve"> </v>
      </c>
      <c r="AK18" s="28" t="str">
        <f>IF(AND(L18&gt;0,'[15]EvaluaciónRiesgoCorrup  (2)'!$F$11&gt;50,'[15]EvaluaciónRiesgoCorrup  (2)'!$F$11&lt;76,F18=1,H18=5),$H$25,IF(AND(L18&gt;0,'[15]EvaluaciónRiesgoCorrup  (2)'!$F$11&gt;50,'[15]EvaluaciónRiesgoCorrup  (2)'!$F$11&lt;76,F18=1,H18=10),$J$25,IF(AND(L18&gt;0,'[15]EvaluaciónRiesgoCorrup  (2)'!$F$11&gt;50,'[15]EvaluaciónRiesgoCorrup  (2)'!$F$11&lt;76,F18=1,H18=20),$K$25," ")))</f>
        <v xml:space="preserve"> </v>
      </c>
      <c r="AL18" s="28" t="str">
        <f>IF(AND(L18&gt;0,'[15]EvaluaciónRiesgoCorrup  (2)'!$F$11&gt;50,'[15]EvaluaciónRiesgoCorrup  (2)'!$F$11&lt;76,F18=2,H18=5),$H$25,IF(AND(L18&gt;0,'[15]EvaluaciónRiesgoCorrup  (2)'!$F$11&gt;50,'[15]EvaluaciónRiesgoCorrup  (2)'!$F$11&lt;76,F18=2,H18=10),$J$25,IF(AND(L18&gt;0,'[15]EvaluaciónRiesgoCorrup  (2)'!$F$11&gt;50,'[15]EvaluaciónRiesgoCorrup  (2)'!$F$11&lt;76,F18=2,H18=20),$K$25," ")))</f>
        <v xml:space="preserve"> </v>
      </c>
      <c r="AM18" s="28" t="str">
        <f>IF(AND(L18&gt;0,'[15]EvaluaciónRiesgoCorrup  (2)'!$F$11&gt;50,'[15]EvaluaciónRiesgoCorrup  (2)'!$F$11&lt;76,F18=3,H18=5),$H$26,IF(AND(L18&gt;0,'[15]EvaluaciónRiesgoCorrup  (2)'!$F$11&gt;50,'[15]EvaluaciónRiesgoCorrup  (2)'!$F$11&lt;76,F18=3,H18=10),$J$26,IF(AND(L18&gt;0,'[15]EvaluaciónRiesgoCorrup  (2)'!$F$11&gt;50,'[15]EvaluaciónRiesgoCorrup  (2)'!$F$11&lt;76,F18=3,H18=20),$K$26," ")))</f>
        <v xml:space="preserve"> </v>
      </c>
      <c r="AN18" s="28" t="str">
        <f>IF(AND(L18&gt;0,'[15]EvaluaciónRiesgoCorrup  (2)'!$F$11&gt;50,'[15]EvaluaciónRiesgoCorrup  (2)'!$F$11&lt;76,F18=4,H18=5),$H$27,IF(AND(L18&gt;0,'[15]EvaluaciónRiesgoCorrup  (2)'!$F$11&gt;50,'[15]EvaluaciónRiesgoCorrup  (2)'!$F$11&lt;76,F18=4,H18=10),$J$27,IF(AND(L18&gt;0,'[15]EvaluaciónRiesgoCorrup  (2)'!$F$11&gt;50,'[15]EvaluaciónRiesgoCorrup  (2)'!$F$11&lt;76,F18=4,H18=20),$K$27," ")))</f>
        <v xml:space="preserve"> </v>
      </c>
      <c r="AO18" s="28" t="str">
        <f>IF(AND(L18&gt;0,'[15]EvaluaciónRiesgoCorrup  (2)'!$F$11&gt;50,'[15]EvaluaciónRiesgoCorrup  (2)'!$F$11&lt;76,F18=5,H18=5),$H$28,IF(AND(L18&gt;0,'[15]EvaluaciónRiesgoCorrup  (2)'!$F$11&gt;50,'[15]EvaluaciónRiesgoCorrup  (2)'!$F$11&lt;76,F18=5,H18=10),$J$28,IF(AND(L18&gt;0,'[15]EvaluaciónRiesgoCorrup  (2)'!$F$11&gt;50,'[15]EvaluaciónRiesgoCorrup  (2)'!$F$11&lt;76,F18=5,H18=20),$K$28," ")))</f>
        <v xml:space="preserve"> </v>
      </c>
      <c r="AR18" s="28" t="str">
        <f>IF(AND(L18&gt;0,'[15]EvaluaciónRiesgoCorrup  (2)'!$F$11&lt;51,F18=1,H18=5),$H$25,IF(AND(L18&gt;0,'[15]EvaluaciónRiesgoCorrup  (2)'!$F$11&lt;51,F18=1,H18=10),$J$25,IF(AND(L18&gt;0,'[15]EvaluaciónRiesgoCorrup  (2)'!$F$11&lt;51,F18=1,H18=20),K$25," ")))</f>
        <v xml:space="preserve"> </v>
      </c>
      <c r="AS18" s="28" t="str">
        <f>IF(AND(L18&gt;0,'[15]EvaluaciónRiesgoCorrup  (2)'!$F$11&lt;51,F18=2,H18=5),$H$26,IF(AND(L18&gt;0,'[15]EvaluaciónRiesgoCorrup  (2)'!$F$11&lt;51,F18=2,H18=10),$J$26,IF(AND(L18&gt;0,'[15]EvaluaciónRiesgoCorrup  (2)'!$F$11&lt;51,F18=2,H18=20),K$26," ")))</f>
        <v xml:space="preserve"> </v>
      </c>
      <c r="AT18" s="28" t="str">
        <f>IF(AND(L18&gt;0,'[15]EvaluaciónRiesgoCorrup  (2)'!$F$11&lt;51,F18=3,H18=5),$H$27,IF(AND(L18&gt;0,'[15]EvaluaciónRiesgoCorrup  (2)'!$F$11&lt;51,F18=3,H18=10),$J$27,IF(AND(L18&gt;0,'[15]EvaluaciónRiesgoCorrup  (2)'!$F$11&lt;51,F18=3,H18=20),K$27," ")))</f>
        <v xml:space="preserve"> </v>
      </c>
      <c r="AU18" s="28" t="str">
        <f>IF(AND(L18&gt;0,'[15]EvaluaciónRiesgoCorrup  (2)'!$F$11&lt;51,F18=4,H18=5),$H$28,IF(AND(L18&gt;0,'[15]EvaluaciónRiesgoCorrup  (2)'!$F$11&lt;51,F18=4,H18=10),$J$28,IF(AND(L18&gt;0,'[15]EvaluaciónRiesgoCorrup  (2)'!$F$11&lt;51,F18=4,H18=20),K$28," ")))</f>
        <v xml:space="preserve"> </v>
      </c>
      <c r="AV18" s="28" t="str">
        <f>IF(AND(L18&gt;0,'[15]EvaluaciónRiesgoCorrup  (2)'!$F$11&lt;51,F18=5,H18=5),$H$29,IF(AND(L18&gt;0,'[15]EvaluaciónRiesgoCorrup  (2)'!$F$11&lt;51,F18=5,H18=10),$J$29,IF(AND(L18&gt;0,'[15]EvaluaciónRiesgoCorrup  (2)'!$F$11&lt;51,F18=5,H18=20),K$29," ")))</f>
        <v xml:space="preserve"> </v>
      </c>
      <c r="AZ18" s="28" t="str">
        <f>IF(AND(M18&gt;0,'[15]EvaluaciónRiesgoCorrup  (2)'!$F$11&gt;75,F18=1,H18=5),$H$25,IF(AND(M18&gt;0,'[15]EvaluaciónRiesgoCorrup  (2)'!$F$11&gt;75,F18=1,H18=10),$H$25,IF(AND(M18&gt;0,'[15]EvaluaciónRiesgoCorrup  (2)'!$F$11&gt;75,F18=1,H18=20),$H$25," ")))</f>
        <v xml:space="preserve"> </v>
      </c>
      <c r="BA18" s="28" t="str">
        <f>IF(AND(M18&gt;0,'[15]EvaluaciónRiesgoCorrup  (2)'!$F$11&gt;75,F18=2,H18=5),$H$26,IF(AND(M18&gt;0,'[15]EvaluaciónRiesgoCorrup  (2)'!$F$11&gt;75,F18=2,H18=10),$H$26,IF(AND(M18&gt;0,'[15]EvaluaciónRiesgoCorrup  (2)'!$F$11&gt;75,F18=2,H18=20),$H$26," ")))</f>
        <v xml:space="preserve"> </v>
      </c>
      <c r="BB18" s="28" t="str">
        <f>IF(AND(M18&gt;0,'[15]EvaluaciónRiesgoCorrup  (2)'!$F$11&gt;75,F18=3,H18=5),$H$27,IF(AND(M18&gt;0,'[15]EvaluaciónRiesgoCorrup  (2)'!$F$11&gt;75,F18=3,H18=10),$H$27,IF(AND(M18&gt;0,'[15]EvaluaciónRiesgoCorrup  (2)'!$F$11&gt;75,F18=3,H18=20),$H$27," ")))</f>
        <v xml:space="preserve"> </v>
      </c>
      <c r="BC18" s="28" t="str">
        <f>IF(AND(M18&gt;0,'[15]EvaluaciónRiesgoCorrup  (2)'!$F$11&gt;75,F18=4,H18=5),$H$28,IF(AND(M18&gt;0,'[15]EvaluaciónRiesgoCorrup  (2)'!$F$11&gt;75,F18=4,H18=10),$H$28,IF(AND(M18&gt;0,'[15]EvaluaciónRiesgoCorrup  (2)'!$F$11&gt;75,F18=4,H18=20),$H$28," ")))</f>
        <v xml:space="preserve"> </v>
      </c>
      <c r="BD18" s="28" t="str">
        <f>IF(AND(M18&gt;0,'[15]EvaluaciónRiesgoCorrup  (2)'!$F$11&gt;75,F18=5,H18=5),$H$29,IF(AND(M18&gt;0,'[15]EvaluaciónRiesgoCorrup  (2)'!$F$11&gt;75,F18=5,H18=10),$H$29,IF(AND(M18&gt;0,'[15]EvaluaciónRiesgoCorrup  (2)'!$F$11&gt;75,F18=5,H18=20),$H$29," ")))</f>
        <v xml:space="preserve"> </v>
      </c>
      <c r="BG18" s="28" t="str">
        <f>IF(AND(M18&gt;0,'[15]EvaluaciónRiesgoCorrup  (2)'!$F$11&gt;50,'[15]EvaluaciónRiesgoCorrup  (2)'!$F$11&lt;76,F18=1,H18=5),$H$25,IF(AND(M18&gt;0,'[15]EvaluaciónRiesgoCorrup  (2)'!$F$11&gt;50,'[15]EvaluaciónRiesgoCorrup  (2)'!$F$11&lt;76,F18=1,H18=10),$H$25,IF(AND(M18&gt;0,'[15]EvaluaciónRiesgoCorrup  (2)'!$F$11&gt;50,'[15]EvaluaciónRiesgoCorrup  (2)'!$F$11&lt;76,F18=1,H18=20),$J$25," ")))</f>
        <v xml:space="preserve"> </v>
      </c>
      <c r="BH18" s="28" t="str">
        <f>IF(AND(M18&gt;0,'[15]EvaluaciónRiesgoCorrup  (2)'!$F$11&gt;50,'[15]EvaluaciónRiesgoCorrup  (2)'!$F$11&lt;76,F18=2,H18=5),$H$26,IF(AND(M18&gt;0,'[15]EvaluaciónRiesgoCorrup  (2)'!$F$11&gt;50,'[15]EvaluaciónRiesgoCorrup  (2)'!$F$11&lt;76,F18=2,H18=10),$H$26,IF(AND(M18&gt;0,'[15]EvaluaciónRiesgoCorrup  (2)'!$F$11&gt;50,'[15]EvaluaciónRiesgoCorrup  (2)'!$F$11&lt;76,F18=2,H18=20),$J$26," ")))</f>
        <v xml:space="preserve"> </v>
      </c>
      <c r="BI18" s="28" t="str">
        <f>IF(AND(M18&gt;0,'[15]EvaluaciónRiesgoCorrup  (2)'!$F$11&gt;50,'[15]EvaluaciónRiesgoCorrup  (2)'!$F$11&lt;76,F18=3,H18=5),$H$27,IF(AND(M18&gt;0,'[15]EvaluaciónRiesgoCorrup  (2)'!$F$11&gt;50,'[15]EvaluaciónRiesgoCorrup  (2)'!$F$11&lt;76,F18=3,H18=10),$H$27,IF(AND(M18&gt;0,'[15]EvaluaciónRiesgoCorrup  (2)'!$F$11&gt;50,'[15]EvaluaciónRiesgoCorrup  (2)'!$F$11&lt;76,F18=3,H18=20),$J$27," ")))</f>
        <v xml:space="preserve"> </v>
      </c>
      <c r="BJ18" s="28" t="str">
        <f>IF(AND(M18&gt;0,'[15]EvaluaciónRiesgoCorrup  (2)'!$F$11&gt;50,'[15]EvaluaciónRiesgoCorrup  (2)'!$F$11&lt;76,F18=4,H18=5),$H$28,IF(AND(M18&gt;0,'[15]EvaluaciónRiesgoCorrup  (2)'!$F$11&gt;50,'[15]EvaluaciónRiesgoCorrup  (2)'!$F$11&lt;76,F18=4,H18=10),$H$28,IF(AND(M18&gt;0,'[15]EvaluaciónRiesgoCorrup  (2)'!$F$11&gt;50,'[15]EvaluaciónRiesgoCorrup  (2)'!$F$11&lt;76,F18=4,H18=20),$J$28," ")))</f>
        <v xml:space="preserve"> </v>
      </c>
      <c r="BK18" s="28" t="str">
        <f>IF(AND(M18&gt;0,'[15]EvaluaciónRiesgoCorrup  (2)'!$F$11&gt;50,'[15]EvaluaciónRiesgoCorrup  (2)'!$F$11&lt;76,F18=5,H18=5),$H$29,IF(AND(M18&gt;0,'[15]EvaluaciónRiesgoCorrup  (2)'!$F$11&gt;50,'[15]EvaluaciónRiesgoCorrup  (2)'!$F$11&lt;76,F18=5,H18=10),$H$29,IF(AND(M18&gt;0,'[15]EvaluaciónRiesgoCorrup  (2)'!$F$11&gt;50,'[15]EvaluaciónRiesgoCorrup  (2)'!$F$11&lt;76,F18=5,H18=20),$J$29," ")))</f>
        <v xml:space="preserve"> </v>
      </c>
      <c r="BN18" s="28" t="str">
        <f>IF(AND(M18&gt;0,'[15]EvaluaciónRiesgoCorrup  (2)'!$F$11&lt;51,F18=1,H18=5),$H$25,IF(AND(M18&gt;0,'[15]EvaluaciónRiesgoCorrup  (2)'!$F$11&lt;51,F18=1,H18=10),$J$25,IF(AND(M18&gt;0,'[15]EvaluaciónRiesgoCorrup  (2)'!$F$11&lt;51,F18=1,H18=20),$K$25," ")))</f>
        <v xml:space="preserve"> </v>
      </c>
      <c r="BO18" s="28" t="str">
        <f>IF(AND(M18&gt;0,'[15]EvaluaciónRiesgoCorrup  (2)'!$F$11&lt;51,F18=2,H18=5),$H$26,IF(AND(M18&gt;0,'[15]EvaluaciónRiesgoCorrup  (2)'!$F$11&lt;51,F18=2,H18=10),$J$26,IF(AND(M18&gt;0,'[15]EvaluaciónRiesgoCorrup  (2)'!$F$11&lt;51,F18=2,H18=20),$K$26," ")))</f>
        <v xml:space="preserve"> </v>
      </c>
      <c r="BP18" s="28" t="str">
        <f>IF(AND(M18&gt;0,'[15]EvaluaciónRiesgoCorrup  (2)'!$F$11&lt;51,F18=3,H18=5),$H$27,IF(AND(M18&gt;0,'[15]EvaluaciónRiesgoCorrup  (2)'!$F$11&lt;51,F18=3,H18=10),$J$27,IF(AND(M18&gt;0,'[15]EvaluaciónRiesgoCorrup  (2)'!$F$11&lt;51,F18=3,H18=20),$K$27," ")))</f>
        <v xml:space="preserve"> </v>
      </c>
      <c r="BQ18" s="28" t="str">
        <f>IF(AND(M18&gt;0,'[15]EvaluaciónRiesgoCorrup  (2)'!$F$11&lt;51,F18=4,H18=5),$H$28,IF(AND(M18&gt;0,'[15]EvaluaciónRiesgoCorrup  (2)'!$F$11&lt;51,F18=4,H18=10),$J$28,IF(AND(M18&gt;0,'[15]EvaluaciónRiesgoCorrup  (2)'!$F$11&lt;51,F18=4,H18=20),$K$28," ")))</f>
        <v xml:space="preserve"> </v>
      </c>
      <c r="BR18" s="28" t="str">
        <f>IF(AND(M18&gt;0,'[15]EvaluaciónRiesgoCorrup  (2)'!$F$11&lt;51,F18=5,H18=5),$H$29,IF(AND(M18&gt;0,'[15]EvaluaciónRiesgoCorrup  (2)'!$F$11&lt;51,F18=5,H18=10),$J$29,IF(AND(M18&gt;0,'[15]EvaluaciónRiesgoCorrup  (2)'!$F$11&lt;51,F18=5,H18=20),$K$29," ")))</f>
        <v xml:space="preserve"> </v>
      </c>
    </row>
    <row r="19" spans="1:70" ht="153.75" customHeight="1" x14ac:dyDescent="0.35">
      <c r="A19" s="323" t="s">
        <v>225</v>
      </c>
      <c r="B19" s="324" t="s">
        <v>226</v>
      </c>
      <c r="C19" s="325" t="s">
        <v>227</v>
      </c>
      <c r="D19" s="326" t="s">
        <v>228</v>
      </c>
      <c r="E19" s="327" t="s">
        <v>106</v>
      </c>
      <c r="F19" s="328">
        <v>1</v>
      </c>
      <c r="G19" s="329" t="s">
        <v>121</v>
      </c>
      <c r="H19" s="330">
        <v>3</v>
      </c>
      <c r="I19" s="331" t="s">
        <v>117</v>
      </c>
      <c r="J19" s="332" t="s">
        <v>49</v>
      </c>
      <c r="K19" s="333" t="s">
        <v>229</v>
      </c>
      <c r="L19" s="1087" t="s">
        <v>10</v>
      </c>
      <c r="M19" s="1088"/>
      <c r="N19" s="334" t="s">
        <v>48</v>
      </c>
      <c r="O19" s="335" t="s">
        <v>211</v>
      </c>
      <c r="P19" s="336" t="s">
        <v>70</v>
      </c>
      <c r="Q19" s="337" t="s">
        <v>230</v>
      </c>
      <c r="R19" s="338" t="s">
        <v>231</v>
      </c>
      <c r="S19" s="879">
        <v>42947</v>
      </c>
      <c r="T19" s="339" t="s">
        <v>232</v>
      </c>
      <c r="U19" s="340" t="s">
        <v>233</v>
      </c>
      <c r="V19" s="390" t="s">
        <v>223</v>
      </c>
      <c r="X19" s="28" t="str">
        <f>IF(AND(F19=1,H19=5),$H$25,IF(AND(F19=1,H19=10),$J$25,IF(AND(F19=1,H19=20),$K$25," ")))</f>
        <v xml:space="preserve"> </v>
      </c>
      <c r="Y19" s="28" t="str">
        <f>IF(AND(F19=2,H19=5),$H$26,IF(AND(F19=2,H19=10),$J$26,IF(AND(F19=2,H19=20),$K$26," ")))</f>
        <v xml:space="preserve"> </v>
      </c>
      <c r="Z19" s="28" t="str">
        <f>IF(AND(F19=3,H19=5),$H$27,IF(AND(F19=3,H19=10),$J$27,IF(AND(F19=3,H19=20),$K$27," ")))</f>
        <v xml:space="preserve"> </v>
      </c>
      <c r="AA19" s="28" t="str">
        <f>IF(AND(F19=4,H19=5),$H$28,IF(AND(F19=4,H19=10),$J$28,IF(AND(F19=4,H19=20),$K$28," ")))</f>
        <v xml:space="preserve"> </v>
      </c>
      <c r="AB19" s="28" t="str">
        <f>IF(AND(F19=5,H19=5),$H$29,IF(AND(F19=5,H19=10),$J$29,IF(AND(F19=5,H19=20),$K$29," ")))</f>
        <v xml:space="preserve"> </v>
      </c>
      <c r="AE19" s="28" t="str">
        <f>IF(AND(L19&gt;0,'[15]EvaluaciónRiesgoCorrup  (3)'!$F$11&gt;75,F19=1,H19=5),$H$25,IF(AND(L19&gt;0,'[15]EvaluaciónRiesgoCorrup  (3)'!$F$11&gt;75,F19=1,H19=10),$J$25,IF(AND(L19&gt;0,'[15]EvaluaciónRiesgoCorrup  (3)'!$F$11&gt;75,F19=1,H19=20),$K$25," ")))</f>
        <v xml:space="preserve"> </v>
      </c>
      <c r="AF19" s="28" t="str">
        <f>IF(AND(L19&gt;0,'[15]EvaluaciónRiesgoCorrup  (3)'!$F$11&gt;75,F19=2,H19=5),$H$25,IF(AND(L19&gt;0,'[15]EvaluaciónRiesgoCorrup  (3)'!$F$11&gt;75,F19=2,H19=10),$J$25,IF(AND(L19&gt;0,'[15]EvaluaciónRiesgoCorrup  (3)'!$F$11&gt;75,F19=2,H19=20),$K$25," ")))</f>
        <v xml:space="preserve"> </v>
      </c>
      <c r="AG19" s="28" t="str">
        <f>IF(AND(L19&gt;0,'[15]EvaluaciónRiesgoCorrup  (3)'!$F$11&gt;75,F19=3,H19=5),$H$25,IF(AND(L19&gt;0,'[15]EvaluaciónRiesgoCorrup  (3)'!$F$11&gt;75,F19=3,H19=10),$J$25,IF(AND(L19&gt;0,'[15]EvaluaciónRiesgoCorrup  (3)'!$F$11&gt;75,F19=3,H19=20),$K$25," ")))</f>
        <v xml:space="preserve"> </v>
      </c>
      <c r="AH19" s="28" t="str">
        <f>IF(AND(L19&gt;0,'[15]EvaluaciónRiesgoCorrup  (3)'!$F$11&gt;75,F19=4,H19=5),$H$26,IF(AND(L19&gt;0,'[15]EvaluaciónRiesgoCorrup  (3)'!$F$11&gt;75,F19=4,H19=10),$J$26,IF(AND(L19&gt;0,'[15]EvaluaciónRiesgoCorrup  (3)'!$F$11&gt;75,F19=4,H19=20),$K$26," ")))</f>
        <v xml:space="preserve"> </v>
      </c>
      <c r="AI19" s="28" t="str">
        <f>IF(AND(L19&gt;0,'[15]EvaluaciónRiesgoCorrup  (3)'!$F$11&gt;75,F19=5,H19=5),$H$27,IF(AND(L19&gt;0,'[15]EvaluaciónRiesgoCorrup  (3)'!$F$11&gt;75,F19=5,H19=10),$J$27,IF(AND(L19&gt;0,'[15]EvaluaciónRiesgoCorrup  (3)'!$F$11&gt;75,F19=5,H19=20),$K$27," ")))</f>
        <v xml:space="preserve"> </v>
      </c>
      <c r="AK19" s="28" t="str">
        <f>IF(AND(L19&gt;0,'[15]EvaluaciónRiesgoCorrup  (3)'!$F$11&gt;50,'[15]EvaluaciónRiesgoCorrup  (3)'!$F$11&lt;76,F19=1,H19=5),$H$25,IF(AND(L19&gt;0,'[15]EvaluaciónRiesgoCorrup  (3)'!$F$11&gt;50,'[15]EvaluaciónRiesgoCorrup  (3)'!$F$11&lt;76,F19=1,H19=10),$J$25,IF(AND(L19&gt;0,'[15]EvaluaciónRiesgoCorrup  (3)'!$F$11&gt;50,'[15]EvaluaciónRiesgoCorrup  (3)'!$F$11&lt;76,F19=1,H19=20),$K$25," ")))</f>
        <v xml:space="preserve"> </v>
      </c>
      <c r="AL19" s="28" t="str">
        <f>IF(AND(L19&gt;0,'[15]EvaluaciónRiesgoCorrup  (3)'!$F$11&gt;50,'[15]EvaluaciónRiesgoCorrup  (3)'!$F$11&lt;76,F19=2,H19=5),$H$25,IF(AND(L19&gt;0,'[15]EvaluaciónRiesgoCorrup  (3)'!$F$11&gt;50,'[15]EvaluaciónRiesgoCorrup  (3)'!$F$11&lt;76,F19=2,H19=10),$J$25,IF(AND(L19&gt;0,'[15]EvaluaciónRiesgoCorrup  (3)'!$F$11&gt;50,'[15]EvaluaciónRiesgoCorrup  (3)'!$F$11&lt;76,F19=2,H19=20),$K$25," ")))</f>
        <v xml:space="preserve"> </v>
      </c>
      <c r="AM19" s="28" t="str">
        <f>IF(AND(L19&gt;0,'[15]EvaluaciónRiesgoCorrup  (3)'!$F$11&gt;50,'[15]EvaluaciónRiesgoCorrup  (3)'!$F$11&lt;76,F19=3,H19=5),$H$26,IF(AND(L19&gt;0,'[15]EvaluaciónRiesgoCorrup  (3)'!$F$11&gt;50,'[15]EvaluaciónRiesgoCorrup  (3)'!$F$11&lt;76,F19=3,H19=10),$J$26,IF(AND(L19&gt;0,'[15]EvaluaciónRiesgoCorrup  (3)'!$F$11&gt;50,'[15]EvaluaciónRiesgoCorrup  (3)'!$F$11&lt;76,F19=3,H19=20),$K$26," ")))</f>
        <v xml:space="preserve"> </v>
      </c>
      <c r="AN19" s="28" t="str">
        <f>IF(AND(L19&gt;0,'[15]EvaluaciónRiesgoCorrup  (3)'!$F$11&gt;50,'[15]EvaluaciónRiesgoCorrup  (3)'!$F$11&lt;76,F19=4,H19=5),$H$27,IF(AND(L19&gt;0,'[15]EvaluaciónRiesgoCorrup  (3)'!$F$11&gt;50,'[15]EvaluaciónRiesgoCorrup  (3)'!$F$11&lt;76,F19=4,H19=10),$J$27,IF(AND(L19&gt;0,'[15]EvaluaciónRiesgoCorrup  (3)'!$F$11&gt;50,'[15]EvaluaciónRiesgoCorrup  (3)'!$F$11&lt;76,F19=4,H19=20),$K$27," ")))</f>
        <v xml:space="preserve"> </v>
      </c>
      <c r="AO19" s="28" t="str">
        <f>IF(AND(L19&gt;0,'[15]EvaluaciónRiesgoCorrup  (3)'!$F$11&gt;50,'[15]EvaluaciónRiesgoCorrup  (3)'!$F$11&lt;76,F19=5,H19=5),$H$28,IF(AND(L19&gt;0,'[15]EvaluaciónRiesgoCorrup  (3)'!$F$11&gt;50,'[15]EvaluaciónRiesgoCorrup  (3)'!$F$11&lt;76,F19=5,H19=10),$J$28,IF(AND(L19&gt;0,'[15]EvaluaciónRiesgoCorrup  (3)'!$F$11&gt;50,'[15]EvaluaciónRiesgoCorrup  (3)'!$F$11&lt;76,F19=5,H19=20),$K$28," ")))</f>
        <v xml:space="preserve"> </v>
      </c>
      <c r="AR19" s="28" t="str">
        <f>IF(AND(L19&gt;0,'[15]EvaluaciónRiesgoCorrup  (3)'!$F$11&lt;51,F19=1,H19=5),$H$25,IF(AND(L19&gt;0,'[15]EvaluaciónRiesgoCorrup  (3)'!$F$11&lt;51,F19=1,H19=10),$J$25,IF(AND(L19&gt;0,'[15]EvaluaciónRiesgoCorrup  (3)'!$F$11&lt;51,F19=1,H19=20),K$25," ")))</f>
        <v xml:space="preserve"> </v>
      </c>
      <c r="AS19" s="28" t="str">
        <f>IF(AND(L19&gt;0,'[15]EvaluaciónRiesgoCorrup  (3)'!$F$11&lt;51,F19=2,H19=5),$H$26,IF(AND(L19&gt;0,'[15]EvaluaciónRiesgoCorrup  (3)'!$F$11&lt;51,F19=2,H19=10),$J$26,IF(AND(L19&gt;0,'[15]EvaluaciónRiesgoCorrup  (3)'!$F$11&lt;51,F19=2,H19=20),K$26," ")))</f>
        <v xml:space="preserve"> </v>
      </c>
      <c r="AT19" s="28" t="str">
        <f>IF(AND(L19&gt;0,'[15]EvaluaciónRiesgoCorrup  (3)'!$F$11&lt;51,F19=3,H19=5),$H$27,IF(AND(L19&gt;0,'[15]EvaluaciónRiesgoCorrup  (3)'!$F$11&lt;51,F19=3,H19=10),$J$27,IF(AND(L19&gt;0,'[15]EvaluaciónRiesgoCorrup  (3)'!$F$11&lt;51,F19=3,H19=20),K$27," ")))</f>
        <v xml:space="preserve"> </v>
      </c>
      <c r="AU19" s="28" t="str">
        <f>IF(AND(L19&gt;0,'[15]EvaluaciónRiesgoCorrup  (3)'!$F$11&lt;51,F19=4,H19=5),$H$28,IF(AND(L19&gt;0,'[15]EvaluaciónRiesgoCorrup  (3)'!$F$11&lt;51,F19=4,H19=10),$J$28,IF(AND(L19&gt;0,'[15]EvaluaciónRiesgoCorrup  (3)'!$F$11&lt;51,F19=4,H19=20),K$28," ")))</f>
        <v xml:space="preserve"> </v>
      </c>
      <c r="AV19" s="28" t="str">
        <f>IF(AND(L19&gt;0,'[15]EvaluaciónRiesgoCorrup  (3)'!$F$11&lt;51,F19=5,H19=5),$H$29,IF(AND(L19&gt;0,'[15]EvaluaciónRiesgoCorrup  (3)'!$F$11&lt;51,F19=5,H19=10),$J$29,IF(AND(L19&gt;0,'[15]EvaluaciónRiesgoCorrup  (3)'!$F$11&lt;51,F19=5,H19=20),K$29," ")))</f>
        <v xml:space="preserve"> </v>
      </c>
      <c r="AZ19" s="28" t="str">
        <f>IF(AND(M19&gt;0,'[15]EvaluaciónRiesgoCorrup  (3)'!$F$11&gt;75,F19=1,H19=5),$H$25,IF(AND(M19&gt;0,'[15]EvaluaciónRiesgoCorrup  (3)'!$F$11&gt;75,F19=1,H19=10),$H$25,IF(AND(M19&gt;0,'[15]EvaluaciónRiesgoCorrup  (3)'!$F$11&gt;75,F19=1,H19=20),$H$25," ")))</f>
        <v xml:space="preserve"> </v>
      </c>
      <c r="BA19" s="28" t="str">
        <f>IF(AND(M19&gt;0,'[15]EvaluaciónRiesgoCorrup  (3)'!$F$11&gt;75,F19=2,H19=5),$H$26,IF(AND(M19&gt;0,'[15]EvaluaciónRiesgoCorrup  (3)'!$F$11&gt;75,F19=2,H19=10),$H$26,IF(AND(M19&gt;0,'[15]EvaluaciónRiesgoCorrup  (3)'!$F$11&gt;75,F19=2,H19=20),$H$26," ")))</f>
        <v xml:space="preserve"> </v>
      </c>
      <c r="BB19" s="28" t="str">
        <f>IF(AND(M19&gt;0,'[15]EvaluaciónRiesgoCorrup  (3)'!$F$11&gt;75,F19=3,H19=5),$H$27,IF(AND(M19&gt;0,'[15]EvaluaciónRiesgoCorrup  (3)'!$F$11&gt;75,F19=3,H19=10),$H$27,IF(AND(M19&gt;0,'[15]EvaluaciónRiesgoCorrup  (3)'!$F$11&gt;75,F19=3,H19=20),$H$27," ")))</f>
        <v xml:space="preserve"> </v>
      </c>
      <c r="BC19" s="28" t="str">
        <f>IF(AND(M19&gt;0,'[15]EvaluaciónRiesgoCorrup  (3)'!$F$11&gt;75,F19=4,H19=5),$H$28,IF(AND(M19&gt;0,'[15]EvaluaciónRiesgoCorrup  (3)'!$F$11&gt;75,F19=4,H19=10),$H$28,IF(AND(M19&gt;0,'[15]EvaluaciónRiesgoCorrup  (3)'!$F$11&gt;75,F19=4,H19=20),$H$28," ")))</f>
        <v xml:space="preserve"> </v>
      </c>
      <c r="BD19" s="28" t="str">
        <f>IF(AND(M19&gt;0,'[15]EvaluaciónRiesgoCorrup  (3)'!$F$11&gt;75,F19=5,H19=5),$H$29,IF(AND(M19&gt;0,'[15]EvaluaciónRiesgoCorrup  (3)'!$F$11&gt;75,F19=5,H19=10),$H$29,IF(AND(M19&gt;0,'[15]EvaluaciónRiesgoCorrup  (3)'!$F$11&gt;75,F19=5,H19=20),$H$29," ")))</f>
        <v xml:space="preserve"> </v>
      </c>
      <c r="BG19" s="28" t="str">
        <f>IF(AND(M19&gt;0,'[15]EvaluaciónRiesgoCorrup  (3)'!$F$11&gt;50,'[15]EvaluaciónRiesgoCorrup  (3)'!$F$11&lt;76,F19=1,H19=5),$H$25,IF(AND(M19&gt;0,'[15]EvaluaciónRiesgoCorrup  (3)'!$F$11&gt;50,'[15]EvaluaciónRiesgoCorrup  (3)'!$F$11&lt;76,F19=1,H19=10),$H$25,IF(AND(M19&gt;0,'[15]EvaluaciónRiesgoCorrup  (3)'!$F$11&gt;50,'[15]EvaluaciónRiesgoCorrup  (3)'!$F$11&lt;76,F19=1,H19=20),$J$25," ")))</f>
        <v xml:space="preserve"> </v>
      </c>
      <c r="BH19" s="28" t="str">
        <f>IF(AND(M19&gt;0,'[15]EvaluaciónRiesgoCorrup  (3)'!$F$11&gt;50,'[15]EvaluaciónRiesgoCorrup  (3)'!$F$11&lt;76,F19=2,H19=5),$H$26,IF(AND(M19&gt;0,'[15]EvaluaciónRiesgoCorrup  (3)'!$F$11&gt;50,'[15]EvaluaciónRiesgoCorrup  (3)'!$F$11&lt;76,F19=2,H19=10),$H$26,IF(AND(M19&gt;0,'[15]EvaluaciónRiesgoCorrup  (3)'!$F$11&gt;50,'[15]EvaluaciónRiesgoCorrup  (3)'!$F$11&lt;76,F19=2,H19=20),$J$26," ")))</f>
        <v xml:space="preserve"> </v>
      </c>
      <c r="BI19" s="28" t="str">
        <f>IF(AND(M19&gt;0,'[15]EvaluaciónRiesgoCorrup  (3)'!$F$11&gt;50,'[15]EvaluaciónRiesgoCorrup  (3)'!$F$11&lt;76,F19=3,H19=5),$H$27,IF(AND(M19&gt;0,'[15]EvaluaciónRiesgoCorrup  (3)'!$F$11&gt;50,'[15]EvaluaciónRiesgoCorrup  (3)'!$F$11&lt;76,F19=3,H19=10),$H$27,IF(AND(M19&gt;0,'[15]EvaluaciónRiesgoCorrup  (3)'!$F$11&gt;50,'[15]EvaluaciónRiesgoCorrup  (3)'!$F$11&lt;76,F19=3,H19=20),$J$27," ")))</f>
        <v xml:space="preserve"> </v>
      </c>
      <c r="BJ19" s="28" t="str">
        <f>IF(AND(M19&gt;0,'[15]EvaluaciónRiesgoCorrup  (3)'!$F$11&gt;50,'[15]EvaluaciónRiesgoCorrup  (3)'!$F$11&lt;76,F19=4,H19=5),$H$28,IF(AND(M19&gt;0,'[15]EvaluaciónRiesgoCorrup  (3)'!$F$11&gt;50,'[15]EvaluaciónRiesgoCorrup  (3)'!$F$11&lt;76,F19=4,H19=10),$H$28,IF(AND(M19&gt;0,'[15]EvaluaciónRiesgoCorrup  (3)'!$F$11&gt;50,'[15]EvaluaciónRiesgoCorrup  (3)'!$F$11&lt;76,F19=4,H19=20),$J$28," ")))</f>
        <v xml:space="preserve"> </v>
      </c>
      <c r="BK19" s="28" t="str">
        <f>IF(AND(M19&gt;0,'[15]EvaluaciónRiesgoCorrup  (3)'!$F$11&gt;50,'[15]EvaluaciónRiesgoCorrup  (3)'!$F$11&lt;76,F19=5,H19=5),$H$29,IF(AND(M19&gt;0,'[15]EvaluaciónRiesgoCorrup  (3)'!$F$11&gt;50,'[15]EvaluaciónRiesgoCorrup  (3)'!$F$11&lt;76,F19=5,H19=10),$H$29,IF(AND(M19&gt;0,'[15]EvaluaciónRiesgoCorrup  (3)'!$F$11&gt;50,'[15]EvaluaciónRiesgoCorrup  (3)'!$F$11&lt;76,F19=5,H19=20),$J$29," ")))</f>
        <v xml:space="preserve"> </v>
      </c>
      <c r="BN19" s="28" t="str">
        <f>IF(AND(M19&gt;0,'[15]EvaluaciónRiesgoCorrup  (3)'!$F$11&lt;51,F19=1,H19=5),$H$25,IF(AND(M19&gt;0,'[15]EvaluaciónRiesgoCorrup  (3)'!$F$11&lt;51,F19=1,H19=10),$J$25,IF(AND(M19&gt;0,'[15]EvaluaciónRiesgoCorrup  (3)'!$F$11&lt;51,F19=1,H19=20),$K$25," ")))</f>
        <v xml:space="preserve"> </v>
      </c>
      <c r="BO19" s="28" t="str">
        <f>IF(AND(M19&gt;0,'[15]EvaluaciónRiesgoCorrup  (3)'!$F$11&lt;51,F19=2,H19=5),$H$26,IF(AND(M19&gt;0,'[15]EvaluaciónRiesgoCorrup  (3)'!$F$11&lt;51,F19=2,H19=10),$J$26,IF(AND(M19&gt;0,'[15]EvaluaciónRiesgoCorrup  (3)'!$F$11&lt;51,F19=2,H19=20),$K$26," ")))</f>
        <v xml:space="preserve"> </v>
      </c>
      <c r="BP19" s="28" t="str">
        <f>IF(AND(M19&gt;0,'[15]EvaluaciónRiesgoCorrup  (3)'!$F$11&lt;51,F19=3,H19=5),$H$27,IF(AND(M19&gt;0,'[15]EvaluaciónRiesgoCorrup  (3)'!$F$11&lt;51,F19=3,H19=10),$J$27,IF(AND(M19&gt;0,'[15]EvaluaciónRiesgoCorrup  (3)'!$F$11&lt;51,F19=3,H19=20),$K$27," ")))</f>
        <v xml:space="preserve"> </v>
      </c>
      <c r="BQ19" s="28" t="str">
        <f>IF(AND(M19&gt;0,'[15]EvaluaciónRiesgoCorrup  (3)'!$F$11&lt;51,F19=4,H19=5),$H$28,IF(AND(M19&gt;0,'[15]EvaluaciónRiesgoCorrup  (3)'!$F$11&lt;51,F19=4,H19=10),$J$28,IF(AND(M19&gt;0,'[15]EvaluaciónRiesgoCorrup  (3)'!$F$11&lt;51,F19=4,H19=20),$K$28," ")))</f>
        <v xml:space="preserve"> </v>
      </c>
      <c r="BR19" s="28" t="str">
        <f>IF(AND(M19&gt;0,'[15]EvaluaciónRiesgoCorrup  (3)'!$F$11&lt;51,F19=5,H19=5),$H$29,IF(AND(M19&gt;0,'[15]EvaluaciónRiesgoCorrup  (3)'!$F$11&lt;51,F19=5,H19=10),$J$29,IF(AND(M19&gt;0,'[15]EvaluaciónRiesgoCorrup  (3)'!$F$11&lt;51,F19=5,H19=20),$K$29," ")))</f>
        <v xml:space="preserve"> </v>
      </c>
    </row>
    <row r="20" spans="1:70" ht="142.5" customHeight="1" x14ac:dyDescent="0.35">
      <c r="A20" s="341" t="s">
        <v>234</v>
      </c>
      <c r="B20" s="342" t="s">
        <v>235</v>
      </c>
      <c r="C20" s="343" t="s">
        <v>236</v>
      </c>
      <c r="D20" s="344" t="s">
        <v>237</v>
      </c>
      <c r="E20" s="345" t="s">
        <v>106</v>
      </c>
      <c r="F20" s="346">
        <v>1</v>
      </c>
      <c r="G20" s="347" t="s">
        <v>121</v>
      </c>
      <c r="H20" s="348">
        <v>4</v>
      </c>
      <c r="I20" s="349" t="s">
        <v>108</v>
      </c>
      <c r="J20" s="350" t="s">
        <v>51</v>
      </c>
      <c r="K20" s="351" t="s">
        <v>238</v>
      </c>
      <c r="L20" s="1087" t="s">
        <v>10</v>
      </c>
      <c r="M20" s="1088"/>
      <c r="N20" s="395" t="s">
        <v>48</v>
      </c>
      <c r="O20" s="352" t="s">
        <v>211</v>
      </c>
      <c r="P20" s="353" t="s">
        <v>70</v>
      </c>
      <c r="Q20" s="354" t="s">
        <v>239</v>
      </c>
      <c r="R20" s="355" t="s">
        <v>240</v>
      </c>
      <c r="S20" s="879">
        <v>42947</v>
      </c>
      <c r="T20" s="356" t="s">
        <v>241</v>
      </c>
      <c r="U20" s="878" t="s">
        <v>249</v>
      </c>
      <c r="V20" s="390" t="s">
        <v>242</v>
      </c>
      <c r="X20" s="28" t="str">
        <f>IF(AND(F20=1,H20=5),$H$25,IF(AND(F20=1,H20=10),$J$25,IF(AND(F20=1,H20=20),$K$25," ")))</f>
        <v xml:space="preserve"> </v>
      </c>
      <c r="Y20" s="28" t="str">
        <f>IF(AND(F20=2,H20=5),$H$26,IF(AND(F20=2,H20=10),$J$26,IF(AND(F20=2,H20=20),$K$26," ")))</f>
        <v xml:space="preserve"> </v>
      </c>
      <c r="Z20" s="28" t="str">
        <f>IF(AND(F20=3,H20=5),$H$27,IF(AND(F20=3,H20=10),$J$27,IF(AND(F20=3,H20=20),$K$27," ")))</f>
        <v xml:space="preserve"> </v>
      </c>
      <c r="AA20" s="28" t="str">
        <f>IF(AND(F20=4,H20=5),$H$28,IF(AND(F20=4,H20=10),$J$28,IF(AND(F20=4,H20=20),$K$28," ")))</f>
        <v xml:space="preserve"> </v>
      </c>
      <c r="AB20" s="28" t="str">
        <f>IF(AND(F20=5,H20=5),$H$29,IF(AND(F20=5,H20=10),$J$29,IF(AND(F20=5,H20=20),$K$29," ")))</f>
        <v xml:space="preserve"> </v>
      </c>
      <c r="AE20" s="28" t="str">
        <f>IF(AND(L20&gt;0,'[15]EvaluaciónRiesgoCorrup  (4)'!$F$11&gt;75,F20=1,H20=5),$H$25,IF(AND(L20&gt;0,'[15]EvaluaciónRiesgoCorrup  (4)'!$F$11&gt;75,F20=1,H20=10),$J$25,IF(AND(L20&gt;0,'[15]EvaluaciónRiesgoCorrup  (4)'!$F$11&gt;75,F20=1,H20=20),$K$25," ")))</f>
        <v xml:space="preserve"> </v>
      </c>
      <c r="AF20" s="28" t="str">
        <f>IF(AND(L20&gt;0,'[15]EvaluaciónRiesgoCorrup  (4)'!$F$11&gt;75,F20=2,H20=5),$H$25,IF(AND(L20&gt;0,'[15]EvaluaciónRiesgoCorrup  (4)'!$F$11&gt;75,F20=2,H20=10),$J$25,IF(AND(L20&gt;0,'[15]EvaluaciónRiesgoCorrup  (4)'!$F$11&gt;75,F20=2,H20=20),$K$25," ")))</f>
        <v xml:space="preserve"> </v>
      </c>
      <c r="AG20" s="28" t="str">
        <f>IF(AND(L20&gt;0,'[15]EvaluaciónRiesgoCorrup  (4)'!$F$11&gt;75,F20=3,H20=5),$H$25,IF(AND(L20&gt;0,'[15]EvaluaciónRiesgoCorrup  (4)'!$F$11&gt;75,F20=3,H20=10),$J$25,IF(AND(L20&gt;0,'[15]EvaluaciónRiesgoCorrup  (4)'!$F$11&gt;75,F20=3,H20=20),$K$25," ")))</f>
        <v xml:space="preserve"> </v>
      </c>
      <c r="AH20" s="28" t="str">
        <f>IF(AND(L20&gt;0,'[15]EvaluaciónRiesgoCorrup  (4)'!$F$11&gt;75,F20=4,H20=5),$H$26,IF(AND(L20&gt;0,'[15]EvaluaciónRiesgoCorrup  (4)'!$F$11&gt;75,F20=4,H20=10),$J$26,IF(AND(L20&gt;0,'[15]EvaluaciónRiesgoCorrup  (4)'!$F$11&gt;75,F20=4,H20=20),$K$26," ")))</f>
        <v xml:space="preserve"> </v>
      </c>
      <c r="AI20" s="28" t="str">
        <f>IF(AND(L20&gt;0,'[15]EvaluaciónRiesgoCorrup  (4)'!$F$11&gt;75,F20=5,H20=5),$H$27,IF(AND(L20&gt;0,'[15]EvaluaciónRiesgoCorrup  (4)'!$F$11&gt;75,F20=5,H20=10),$J$27,IF(AND(L20&gt;0,'[15]EvaluaciónRiesgoCorrup  (4)'!$F$11&gt;75,F20=5,H20=20),$K$27," ")))</f>
        <v xml:space="preserve"> </v>
      </c>
      <c r="AK20" s="28" t="str">
        <f>IF(AND(L20&gt;0,'[15]EvaluaciónRiesgoCorrup  (4)'!$F$11&gt;50,'[15]EvaluaciónRiesgoCorrup  (4)'!$F$11&lt;76,F20=1,H20=5),$H$25,IF(AND(L20&gt;0,'[15]EvaluaciónRiesgoCorrup  (4)'!$F$11&gt;50,'[15]EvaluaciónRiesgoCorrup  (4)'!$F$11&lt;76,F20=1,H20=10),$J$25,IF(AND(L20&gt;0,'[15]EvaluaciónRiesgoCorrup  (4)'!$F$11&gt;50,'[15]EvaluaciónRiesgoCorrup  (4)'!$F$11&lt;76,F20=1,H20=20),$K$25," ")))</f>
        <v xml:space="preserve"> </v>
      </c>
      <c r="AL20" s="28" t="str">
        <f>IF(AND(L20&gt;0,'[15]EvaluaciónRiesgoCorrup  (4)'!$F$11&gt;50,'[15]EvaluaciónRiesgoCorrup  (4)'!$F$11&lt;76,F20=2,H20=5),$H$25,IF(AND(L20&gt;0,'[15]EvaluaciónRiesgoCorrup  (4)'!$F$11&gt;50,'[15]EvaluaciónRiesgoCorrup  (4)'!$F$11&lt;76,F20=2,H20=10),$J$25,IF(AND(L20&gt;0,'[15]EvaluaciónRiesgoCorrup  (4)'!$F$11&gt;50,'[15]EvaluaciónRiesgoCorrup  (4)'!$F$11&lt;76,F20=2,H20=20),$K$25," ")))</f>
        <v xml:space="preserve"> </v>
      </c>
      <c r="AM20" s="28" t="str">
        <f>IF(AND(L20&gt;0,'[15]EvaluaciónRiesgoCorrup  (4)'!$F$11&gt;50,'[15]EvaluaciónRiesgoCorrup  (4)'!$F$11&lt;76,F20=3,H20=5),$H$26,IF(AND(L20&gt;0,'[15]EvaluaciónRiesgoCorrup  (4)'!$F$11&gt;50,'[15]EvaluaciónRiesgoCorrup  (4)'!$F$11&lt;76,F20=3,H20=10),$J$26,IF(AND(L20&gt;0,'[15]EvaluaciónRiesgoCorrup  (4)'!$F$11&gt;50,'[15]EvaluaciónRiesgoCorrup  (4)'!$F$11&lt;76,F20=3,H20=20),$K$26," ")))</f>
        <v xml:space="preserve"> </v>
      </c>
      <c r="AN20" s="28" t="str">
        <f>IF(AND(L20&gt;0,'[15]EvaluaciónRiesgoCorrup  (4)'!$F$11&gt;50,'[15]EvaluaciónRiesgoCorrup  (4)'!$F$11&lt;76,F20=4,H20=5),$H$27,IF(AND(L20&gt;0,'[15]EvaluaciónRiesgoCorrup  (4)'!$F$11&gt;50,'[15]EvaluaciónRiesgoCorrup  (4)'!$F$11&lt;76,F20=4,H20=10),$J$27,IF(AND(L20&gt;0,'[15]EvaluaciónRiesgoCorrup  (4)'!$F$11&gt;50,'[15]EvaluaciónRiesgoCorrup  (4)'!$F$11&lt;76,F20=4,H20=20),$K$27," ")))</f>
        <v xml:space="preserve"> </v>
      </c>
      <c r="AO20" s="28" t="str">
        <f>IF(AND(L20&gt;0,'[15]EvaluaciónRiesgoCorrup  (4)'!$F$11&gt;50,'[15]EvaluaciónRiesgoCorrup  (4)'!$F$11&lt;76,F20=5,H20=5),$H$28,IF(AND(L20&gt;0,'[15]EvaluaciónRiesgoCorrup  (4)'!$F$11&gt;50,'[15]EvaluaciónRiesgoCorrup  (4)'!$F$11&lt;76,F20=5,H20=10),$J$28,IF(AND(L20&gt;0,'[15]EvaluaciónRiesgoCorrup  (4)'!$F$11&gt;50,'[15]EvaluaciónRiesgoCorrup  (4)'!$F$11&lt;76,F20=5,H20=20),$K$28," ")))</f>
        <v xml:space="preserve"> </v>
      </c>
      <c r="AR20" s="28" t="str">
        <f>IF(AND(L20&gt;0,'[15]EvaluaciónRiesgoCorrup  (4)'!$F$11&lt;51,F20=1,H20=5),$H$25,IF(AND(L20&gt;0,'[15]EvaluaciónRiesgoCorrup  (4)'!$F$11&lt;51,F20=1,H20=10),$J$25,IF(AND(L20&gt;0,'[15]EvaluaciónRiesgoCorrup  (4)'!$F$11&lt;51,F20=1,H20=20),K$25," ")))</f>
        <v xml:space="preserve"> </v>
      </c>
      <c r="AS20" s="28" t="str">
        <f>IF(AND(L20&gt;0,'[15]EvaluaciónRiesgoCorrup  (4)'!$F$11&lt;51,F20=2,H20=5),$H$26,IF(AND(L20&gt;0,'[15]EvaluaciónRiesgoCorrup  (4)'!$F$11&lt;51,F20=2,H20=10),$J$26,IF(AND(L20&gt;0,'[15]EvaluaciónRiesgoCorrup  (4)'!$F$11&lt;51,F20=2,H20=20),K$26," ")))</f>
        <v xml:space="preserve"> </v>
      </c>
      <c r="AT20" s="28" t="str">
        <f>IF(AND(L20&gt;0,'[15]EvaluaciónRiesgoCorrup  (4)'!$F$11&lt;51,F20=3,H20=5),$H$27,IF(AND(L20&gt;0,'[15]EvaluaciónRiesgoCorrup  (4)'!$F$11&lt;51,F20=3,H20=10),$J$27,IF(AND(L20&gt;0,'[15]EvaluaciónRiesgoCorrup  (4)'!$F$11&lt;51,F20=3,H20=20),K$27," ")))</f>
        <v xml:space="preserve"> </v>
      </c>
      <c r="AU20" s="28" t="str">
        <f>IF(AND(L20&gt;0,'[15]EvaluaciónRiesgoCorrup  (4)'!$F$11&lt;51,F20=4,H20=5),$H$28,IF(AND(L20&gt;0,'[15]EvaluaciónRiesgoCorrup  (4)'!$F$11&lt;51,F20=4,H20=10),$J$28,IF(AND(L20&gt;0,'[15]EvaluaciónRiesgoCorrup  (4)'!$F$11&lt;51,F20=4,H20=20),K$28," ")))</f>
        <v xml:space="preserve"> </v>
      </c>
      <c r="AV20" s="28" t="str">
        <f>IF(AND(L20&gt;0,'[15]EvaluaciónRiesgoCorrup  (4)'!$F$11&lt;51,F20=5,H20=5),$H$29,IF(AND(L20&gt;0,'[15]EvaluaciónRiesgoCorrup  (4)'!$F$11&lt;51,F20=5,H20=10),$J$29,IF(AND(L20&gt;0,'[15]EvaluaciónRiesgoCorrup  (4)'!$F$11&lt;51,F20=5,H20=20),K$29," ")))</f>
        <v xml:space="preserve"> </v>
      </c>
      <c r="AZ20" s="28" t="str">
        <f>IF(AND(M20&gt;0,'[15]EvaluaciónRiesgoCorrup  (4)'!$F$11&gt;75,F20=1,H20=5),$H$25,IF(AND(M20&gt;0,'[15]EvaluaciónRiesgoCorrup  (4)'!$F$11&gt;75,F20=1,H20=10),$H$25,IF(AND(M20&gt;0,'[15]EvaluaciónRiesgoCorrup  (4)'!$F$11&gt;75,F20=1,H20=20),$H$25," ")))</f>
        <v xml:space="preserve"> </v>
      </c>
      <c r="BA20" s="28" t="str">
        <f>IF(AND(M20&gt;0,'[15]EvaluaciónRiesgoCorrup  (4)'!$F$11&gt;75,F20=2,H20=5),$H$26,IF(AND(M20&gt;0,'[15]EvaluaciónRiesgoCorrup  (4)'!$F$11&gt;75,F20=2,H20=10),$H$26,IF(AND(M20&gt;0,'[15]EvaluaciónRiesgoCorrup  (4)'!$F$11&gt;75,F20=2,H20=20),$H$26," ")))</f>
        <v xml:space="preserve"> </v>
      </c>
      <c r="BB20" s="28" t="str">
        <f>IF(AND(M20&gt;0,'[15]EvaluaciónRiesgoCorrup  (4)'!$F$11&gt;75,F20=3,H20=5),$H$27,IF(AND(M20&gt;0,'[15]EvaluaciónRiesgoCorrup  (4)'!$F$11&gt;75,F20=3,H20=10),$H$27,IF(AND(M20&gt;0,'[15]EvaluaciónRiesgoCorrup  (4)'!$F$11&gt;75,F20=3,H20=20),$H$27," ")))</f>
        <v xml:space="preserve"> </v>
      </c>
      <c r="BC20" s="28" t="str">
        <f>IF(AND(M20&gt;0,'[15]EvaluaciónRiesgoCorrup  (4)'!$F$11&gt;75,F20=4,H20=5),$H$28,IF(AND(M20&gt;0,'[15]EvaluaciónRiesgoCorrup  (4)'!$F$11&gt;75,F20=4,H20=10),$H$28,IF(AND(M20&gt;0,'[15]EvaluaciónRiesgoCorrup  (4)'!$F$11&gt;75,F20=4,H20=20),$H$28," ")))</f>
        <v xml:space="preserve"> </v>
      </c>
      <c r="BD20" s="28" t="str">
        <f>IF(AND(M20&gt;0,'[15]EvaluaciónRiesgoCorrup  (4)'!$F$11&gt;75,F20=5,H20=5),$H$29,IF(AND(M20&gt;0,'[15]EvaluaciónRiesgoCorrup  (4)'!$F$11&gt;75,F20=5,H20=10),$H$29,IF(AND(M20&gt;0,'[15]EvaluaciónRiesgoCorrup  (4)'!$F$11&gt;75,F20=5,H20=20),$H$29," ")))</f>
        <v xml:space="preserve"> </v>
      </c>
      <c r="BG20" s="28" t="str">
        <f>IF(AND(M20&gt;0,'[15]EvaluaciónRiesgoCorrup  (4)'!$F$11&gt;50,'[15]EvaluaciónRiesgoCorrup  (4)'!$F$11&lt;76,F20=1,H20=5),$H$25,IF(AND(M20&gt;0,'[15]EvaluaciónRiesgoCorrup  (4)'!$F$11&gt;50,'[15]EvaluaciónRiesgoCorrup  (4)'!$F$11&lt;76,F20=1,H20=10),$H$25,IF(AND(M20&gt;0,'[15]EvaluaciónRiesgoCorrup  (4)'!$F$11&gt;50,'[15]EvaluaciónRiesgoCorrup  (4)'!$F$11&lt;76,F20=1,H20=20),$J$25," ")))</f>
        <v xml:space="preserve"> </v>
      </c>
      <c r="BH20" s="28" t="str">
        <f>IF(AND(M20&gt;0,'[15]EvaluaciónRiesgoCorrup  (4)'!$F$11&gt;50,'[15]EvaluaciónRiesgoCorrup  (4)'!$F$11&lt;76,F20=2,H20=5),$H$26,IF(AND(M20&gt;0,'[15]EvaluaciónRiesgoCorrup  (4)'!$F$11&gt;50,'[15]EvaluaciónRiesgoCorrup  (4)'!$F$11&lt;76,F20=2,H20=10),$H$26,IF(AND(M20&gt;0,'[15]EvaluaciónRiesgoCorrup  (4)'!$F$11&gt;50,'[15]EvaluaciónRiesgoCorrup  (4)'!$F$11&lt;76,F20=2,H20=20),$J$26," ")))</f>
        <v xml:space="preserve"> </v>
      </c>
      <c r="BI20" s="28" t="str">
        <f>IF(AND(M20&gt;0,'[15]EvaluaciónRiesgoCorrup  (4)'!$F$11&gt;50,'[15]EvaluaciónRiesgoCorrup  (4)'!$F$11&lt;76,F20=3,H20=5),$H$27,IF(AND(M20&gt;0,'[15]EvaluaciónRiesgoCorrup  (4)'!$F$11&gt;50,'[15]EvaluaciónRiesgoCorrup  (4)'!$F$11&lt;76,F20=3,H20=10),$H$27,IF(AND(M20&gt;0,'[15]EvaluaciónRiesgoCorrup  (4)'!$F$11&gt;50,'[15]EvaluaciónRiesgoCorrup  (4)'!$F$11&lt;76,F20=3,H20=20),$J$27," ")))</f>
        <v xml:space="preserve"> </v>
      </c>
      <c r="BJ20" s="28" t="str">
        <f>IF(AND(M20&gt;0,'[15]EvaluaciónRiesgoCorrup  (4)'!$F$11&gt;50,'[15]EvaluaciónRiesgoCorrup  (4)'!$F$11&lt;76,F20=4,H20=5),$H$28,IF(AND(M20&gt;0,'[15]EvaluaciónRiesgoCorrup  (4)'!$F$11&gt;50,'[15]EvaluaciónRiesgoCorrup  (4)'!$F$11&lt;76,F20=4,H20=10),$H$28,IF(AND(M20&gt;0,'[15]EvaluaciónRiesgoCorrup  (4)'!$F$11&gt;50,'[15]EvaluaciónRiesgoCorrup  (4)'!$F$11&lt;76,F20=4,H20=20),$J$28," ")))</f>
        <v xml:space="preserve"> </v>
      </c>
      <c r="BK20" s="28" t="str">
        <f>IF(AND(M20&gt;0,'[15]EvaluaciónRiesgoCorrup  (4)'!$F$11&gt;50,'[15]EvaluaciónRiesgoCorrup  (4)'!$F$11&lt;76,F20=5,H20=5),$H$29,IF(AND(M20&gt;0,'[15]EvaluaciónRiesgoCorrup  (4)'!$F$11&gt;50,'[15]EvaluaciónRiesgoCorrup  (4)'!$F$11&lt;76,F20=5,H20=10),$H$29,IF(AND(M20&gt;0,'[15]EvaluaciónRiesgoCorrup  (4)'!$F$11&gt;50,'[15]EvaluaciónRiesgoCorrup  (4)'!$F$11&lt;76,F20=5,H20=20),$J$29," ")))</f>
        <v xml:space="preserve"> </v>
      </c>
      <c r="BN20" s="28" t="str">
        <f>IF(AND(M20&gt;0,'[15]EvaluaciónRiesgoCorrup  (4)'!$F$11&lt;51,F20=1,H20=5),$H$25,IF(AND(M20&gt;0,'[15]EvaluaciónRiesgoCorrup  (4)'!$F$11&lt;51,F20=1,H20=10),$J$25,IF(AND(M20&gt;0,'[15]EvaluaciónRiesgoCorrup  (4)'!$F$11&lt;51,F20=1,H20=20),$K$25," ")))</f>
        <v xml:space="preserve"> </v>
      </c>
      <c r="BO20" s="28" t="str">
        <f>IF(AND(M20&gt;0,'[15]EvaluaciónRiesgoCorrup  (4)'!$F$11&lt;51,F20=2,H20=5),$H$26,IF(AND(M20&gt;0,'[15]EvaluaciónRiesgoCorrup  (4)'!$F$11&lt;51,F20=2,H20=10),$J$26,IF(AND(M20&gt;0,'[15]EvaluaciónRiesgoCorrup  (4)'!$F$11&lt;51,F20=2,H20=20),$K$26," ")))</f>
        <v xml:space="preserve"> </v>
      </c>
      <c r="BP20" s="28" t="str">
        <f>IF(AND(M20&gt;0,'[15]EvaluaciónRiesgoCorrup  (4)'!$F$11&lt;51,F20=3,H20=5),$H$27,IF(AND(M20&gt;0,'[15]EvaluaciónRiesgoCorrup  (4)'!$F$11&lt;51,F20=3,H20=10),$J$27,IF(AND(M20&gt;0,'[15]EvaluaciónRiesgoCorrup  (4)'!$F$11&lt;51,F20=3,H20=20),$K$27," ")))</f>
        <v xml:space="preserve"> </v>
      </c>
      <c r="BQ20" s="28" t="str">
        <f>IF(AND(M20&gt;0,'[15]EvaluaciónRiesgoCorrup  (4)'!$F$11&lt;51,F20=4,H20=5),$H$28,IF(AND(M20&gt;0,'[15]EvaluaciónRiesgoCorrup  (4)'!$F$11&lt;51,F20=4,H20=10),$J$28,IF(AND(M20&gt;0,'[15]EvaluaciónRiesgoCorrup  (4)'!$F$11&lt;51,F20=4,H20=20),$K$28," ")))</f>
        <v xml:space="preserve"> </v>
      </c>
      <c r="BR20" s="28" t="str">
        <f>IF(AND(M20&gt;0,'[15]EvaluaciónRiesgoCorrup  (4)'!$F$11&lt;51,F20=5,H20=5),$H$29,IF(AND(M20&gt;0,'[15]EvaluaciónRiesgoCorrup  (4)'!$F$11&lt;51,F20=5,H20=10),$J$29,IF(AND(M20&gt;0,'[15]EvaluaciónRiesgoCorrup  (4)'!$F$11&lt;51,F20=5,H20=20),$K$29," ")))</f>
        <v xml:space="preserve"> </v>
      </c>
    </row>
    <row r="21" spans="1:70" ht="151.5" customHeight="1" x14ac:dyDescent="0.35">
      <c r="A21" s="357" t="s">
        <v>243</v>
      </c>
      <c r="B21" s="358" t="s">
        <v>244</v>
      </c>
      <c r="C21" s="359" t="s">
        <v>245</v>
      </c>
      <c r="D21" s="360" t="s">
        <v>246</v>
      </c>
      <c r="E21" s="361" t="s">
        <v>119</v>
      </c>
      <c r="F21" s="362">
        <v>1</v>
      </c>
      <c r="G21" s="363" t="s">
        <v>121</v>
      </c>
      <c r="H21" s="364">
        <v>10</v>
      </c>
      <c r="I21" s="365" t="s">
        <v>108</v>
      </c>
      <c r="J21" s="392" t="s">
        <v>48</v>
      </c>
      <c r="K21" s="366" t="s">
        <v>62</v>
      </c>
      <c r="L21" s="1089" t="s">
        <v>10</v>
      </c>
      <c r="M21" s="1090"/>
      <c r="N21" s="396" t="s">
        <v>48</v>
      </c>
      <c r="O21" s="367" t="s">
        <v>211</v>
      </c>
      <c r="P21" s="368" t="s">
        <v>70</v>
      </c>
      <c r="Q21" s="369" t="s">
        <v>247</v>
      </c>
      <c r="R21" s="370" t="s">
        <v>63</v>
      </c>
      <c r="S21" s="879">
        <v>42947</v>
      </c>
      <c r="T21" s="371" t="s">
        <v>248</v>
      </c>
      <c r="U21" s="372" t="s">
        <v>249</v>
      </c>
      <c r="V21" s="391" t="s">
        <v>223</v>
      </c>
    </row>
    <row r="22" spans="1:70" ht="121.5" customHeight="1" x14ac:dyDescent="0.35">
      <c r="A22" s="373" t="s">
        <v>250</v>
      </c>
      <c r="B22" s="374" t="s">
        <v>251</v>
      </c>
      <c r="C22" s="375" t="s">
        <v>252</v>
      </c>
      <c r="D22" s="376" t="s">
        <v>246</v>
      </c>
      <c r="E22" s="377" t="s">
        <v>119</v>
      </c>
      <c r="F22" s="378">
        <v>1</v>
      </c>
      <c r="G22" s="379" t="s">
        <v>121</v>
      </c>
      <c r="H22" s="380">
        <v>10</v>
      </c>
      <c r="I22" s="381" t="s">
        <v>108</v>
      </c>
      <c r="J22" s="392" t="s">
        <v>48</v>
      </c>
      <c r="K22" s="382" t="s">
        <v>64</v>
      </c>
      <c r="L22" s="1089" t="s">
        <v>10</v>
      </c>
      <c r="M22" s="1090"/>
      <c r="N22" s="393" t="s">
        <v>48</v>
      </c>
      <c r="O22" s="383" t="s">
        <v>211</v>
      </c>
      <c r="P22" s="384" t="s">
        <v>70</v>
      </c>
      <c r="Q22" s="385" t="s">
        <v>247</v>
      </c>
      <c r="R22" s="386" t="s">
        <v>63</v>
      </c>
      <c r="S22" s="879">
        <v>42947</v>
      </c>
      <c r="T22" s="387" t="s">
        <v>248</v>
      </c>
      <c r="U22" s="388" t="s">
        <v>249</v>
      </c>
      <c r="V22" s="391" t="s">
        <v>223</v>
      </c>
    </row>
    <row r="23" spans="1:70" ht="14.5" thickBot="1" x14ac:dyDescent="0.4">
      <c r="A23" s="6"/>
      <c r="B23" s="33"/>
      <c r="C23" s="33"/>
      <c r="D23" s="33"/>
      <c r="E23" s="33"/>
      <c r="F23" s="1082" t="s">
        <v>26</v>
      </c>
      <c r="G23" s="84"/>
      <c r="H23" s="1083" t="s">
        <v>10</v>
      </c>
      <c r="I23" s="1083"/>
      <c r="J23" s="1083"/>
      <c r="K23" s="1084"/>
      <c r="L23" s="2"/>
      <c r="N23" s="394"/>
      <c r="Q23" s="5"/>
      <c r="S23" s="2"/>
    </row>
    <row r="24" spans="1:70" ht="32.25" customHeight="1" thickBot="1" x14ac:dyDescent="0.4">
      <c r="A24" s="5"/>
      <c r="B24" s="34" t="s">
        <v>42</v>
      </c>
      <c r="C24" s="34"/>
      <c r="D24" s="34"/>
      <c r="E24" s="34"/>
      <c r="F24" s="1020"/>
      <c r="G24" s="184"/>
      <c r="H24" s="35" t="s">
        <v>43</v>
      </c>
      <c r="I24" s="35"/>
      <c r="J24" s="36" t="s">
        <v>44</v>
      </c>
      <c r="K24" s="35" t="s">
        <v>45</v>
      </c>
      <c r="L24" s="2"/>
      <c r="Q24" s="5"/>
      <c r="S24" s="2"/>
    </row>
    <row r="25" spans="1:70" ht="14.5" thickBot="1" x14ac:dyDescent="0.4">
      <c r="B25" s="5" t="s">
        <v>46</v>
      </c>
      <c r="C25" s="5"/>
      <c r="F25" s="37" t="s">
        <v>47</v>
      </c>
      <c r="G25" s="37"/>
      <c r="H25" s="38" t="s">
        <v>48</v>
      </c>
      <c r="I25" s="38"/>
      <c r="J25" s="38" t="s">
        <v>48</v>
      </c>
      <c r="K25" s="39" t="s">
        <v>49</v>
      </c>
      <c r="L25" s="2"/>
      <c r="Q25" s="5"/>
      <c r="S25" s="2"/>
    </row>
    <row r="26" spans="1:70" ht="14.5" thickBot="1" x14ac:dyDescent="0.4">
      <c r="F26" s="37" t="s">
        <v>50</v>
      </c>
      <c r="G26" s="37"/>
      <c r="H26" s="38" t="s">
        <v>48</v>
      </c>
      <c r="I26" s="38"/>
      <c r="J26" s="39" t="s">
        <v>49</v>
      </c>
      <c r="K26" s="40" t="s">
        <v>51</v>
      </c>
      <c r="L26" s="2"/>
      <c r="Q26" s="5"/>
      <c r="S26" s="2"/>
    </row>
    <row r="27" spans="1:70" ht="14.5" thickBot="1" x14ac:dyDescent="0.4">
      <c r="F27" s="37" t="s">
        <v>52</v>
      </c>
      <c r="G27" s="37"/>
      <c r="H27" s="39" t="s">
        <v>49</v>
      </c>
      <c r="I27" s="39"/>
      <c r="J27" s="40" t="s">
        <v>51</v>
      </c>
      <c r="K27" s="41" t="s">
        <v>53</v>
      </c>
      <c r="L27" s="2"/>
      <c r="Q27" s="5"/>
      <c r="S27" s="2"/>
    </row>
    <row r="28" spans="1:70" ht="14.5" thickBot="1" x14ac:dyDescent="0.4">
      <c r="F28" s="37" t="s">
        <v>54</v>
      </c>
      <c r="G28" s="37"/>
      <c r="H28" s="39" t="s">
        <v>49</v>
      </c>
      <c r="I28" s="39"/>
      <c r="J28" s="40" t="s">
        <v>51</v>
      </c>
      <c r="K28" s="41" t="s">
        <v>53</v>
      </c>
      <c r="L28" s="2"/>
      <c r="Q28" s="5"/>
      <c r="S28" s="2"/>
    </row>
    <row r="29" spans="1:70" ht="14.5" thickBot="1" x14ac:dyDescent="0.4">
      <c r="F29" s="37" t="s">
        <v>55</v>
      </c>
      <c r="G29" s="37"/>
      <c r="H29" s="39" t="s">
        <v>49</v>
      </c>
      <c r="I29" s="39"/>
      <c r="J29" s="40" t="s">
        <v>51</v>
      </c>
      <c r="K29" s="41" t="s">
        <v>53</v>
      </c>
      <c r="L29" s="2"/>
      <c r="Q29" s="5"/>
      <c r="S29" s="2"/>
    </row>
    <row r="30" spans="1:70" x14ac:dyDescent="0.35">
      <c r="F30" s="2"/>
      <c r="G30" s="2"/>
      <c r="H30" s="2"/>
      <c r="I30" s="2"/>
      <c r="J30" s="2"/>
      <c r="K30" s="5"/>
      <c r="M30" s="5"/>
    </row>
    <row r="31" spans="1:70" x14ac:dyDescent="0.35">
      <c r="F31" s="42" t="s">
        <v>56</v>
      </c>
      <c r="G31" s="42"/>
      <c r="H31" s="2"/>
      <c r="I31" s="2"/>
      <c r="J31" s="2"/>
      <c r="K31" s="5"/>
      <c r="M31" s="5"/>
      <c r="N31" s="5"/>
      <c r="O31" s="5"/>
      <c r="P31" s="5"/>
    </row>
    <row r="32" spans="1:70" x14ac:dyDescent="0.35">
      <c r="F32" s="43" t="s">
        <v>57</v>
      </c>
      <c r="G32" s="43"/>
      <c r="H32" s="2"/>
      <c r="I32" s="2"/>
      <c r="J32" s="2"/>
      <c r="K32" s="5"/>
      <c r="M32" s="5"/>
      <c r="N32" s="5"/>
      <c r="O32" s="5"/>
      <c r="P32" s="5"/>
    </row>
    <row r="33" spans="6:16" x14ac:dyDescent="0.35">
      <c r="F33" s="44" t="s">
        <v>58</v>
      </c>
      <c r="G33" s="44"/>
      <c r="H33" s="2"/>
      <c r="I33" s="2"/>
      <c r="J33" s="2"/>
      <c r="K33" s="5"/>
      <c r="M33" s="5"/>
      <c r="N33" s="5"/>
      <c r="O33" s="5"/>
      <c r="P33" s="5"/>
    </row>
    <row r="34" spans="6:16" x14ac:dyDescent="0.35">
      <c r="F34" s="45" t="s">
        <v>59</v>
      </c>
      <c r="G34" s="45"/>
      <c r="H34" s="2"/>
      <c r="I34" s="2"/>
      <c r="J34" s="2"/>
      <c r="K34" s="5"/>
      <c r="M34" s="5"/>
      <c r="N34" s="5"/>
      <c r="O34" s="5"/>
      <c r="P34" s="5"/>
    </row>
  </sheetData>
  <mergeCells count="40">
    <mergeCell ref="T15:T16"/>
    <mergeCell ref="U15:U16"/>
    <mergeCell ref="V15:V16"/>
    <mergeCell ref="F23:F24"/>
    <mergeCell ref="H23:K23"/>
    <mergeCell ref="P15:R15"/>
    <mergeCell ref="L17:M17"/>
    <mergeCell ref="L18:M18"/>
    <mergeCell ref="L19:M19"/>
    <mergeCell ref="L20:M20"/>
    <mergeCell ref="L21:M21"/>
    <mergeCell ref="L22:M22"/>
    <mergeCell ref="A12:D12"/>
    <mergeCell ref="F12:V12"/>
    <mergeCell ref="AG13:AY13"/>
    <mergeCell ref="BA13:BT13"/>
    <mergeCell ref="A14:D14"/>
    <mergeCell ref="F14:H14"/>
    <mergeCell ref="K14:K16"/>
    <mergeCell ref="L14:N14"/>
    <mergeCell ref="P14:R14"/>
    <mergeCell ref="S14:V14"/>
    <mergeCell ref="A15:A16"/>
    <mergeCell ref="B15:B16"/>
    <mergeCell ref="D15:D16"/>
    <mergeCell ref="F15:H15"/>
    <mergeCell ref="L15:N15"/>
    <mergeCell ref="S15:S16"/>
    <mergeCell ref="A6:D6"/>
    <mergeCell ref="F6:V6"/>
    <mergeCell ref="A8:D8"/>
    <mergeCell ref="F8:V8"/>
    <mergeCell ref="A10:D10"/>
    <mergeCell ref="F10:V10"/>
    <mergeCell ref="A1:D4"/>
    <mergeCell ref="F1:T4"/>
    <mergeCell ref="U1:V1"/>
    <mergeCell ref="U2:V2"/>
    <mergeCell ref="U3:V3"/>
    <mergeCell ref="U4:V4"/>
  </mergeCells>
  <conditionalFormatting sqref="J17:J20 N17:O20">
    <cfRule type="containsText" dxfId="115" priority="1" operator="containsText" text="E">
      <formula>NOT(ISERROR(SEARCH("E",J17)))</formula>
    </cfRule>
    <cfRule type="containsText" dxfId="114" priority="2" operator="containsText" text="M">
      <formula>NOT(ISERROR(SEARCH("M",J17)))</formula>
    </cfRule>
    <cfRule type="containsText" dxfId="113" priority="3" operator="containsText" text="A">
      <formula>NOT(ISERROR(SEARCH("A",J17)))</formula>
    </cfRule>
    <cfRule type="containsText" dxfId="112" priority="4" operator="containsText" text="B">
      <formula>NOT(ISERROR(SEARCH("B",J17)))</formula>
    </cfRule>
  </conditionalFormatting>
  <pageMargins left="0.7" right="0.7" top="0.75" bottom="0.75" header="0.3" footer="0.3"/>
  <pageSetup scale="1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4"/>
  <sheetViews>
    <sheetView showGridLines="0" view="pageBreakPreview" topLeftCell="Q16" zoomScale="110" zoomScaleNormal="60" zoomScaleSheetLayoutView="110" workbookViewId="0">
      <selection activeCell="T20" sqref="T20"/>
    </sheetView>
  </sheetViews>
  <sheetFormatPr baseColWidth="10" defaultColWidth="11.453125" defaultRowHeight="14" x14ac:dyDescent="0.35"/>
  <cols>
    <col min="1" max="1" width="41.26953125" style="2" customWidth="1"/>
    <col min="2" max="2" width="36.26953125" style="2" customWidth="1"/>
    <col min="3" max="3" width="35.453125" style="2" customWidth="1"/>
    <col min="4" max="4" width="32.54296875" style="2" customWidth="1"/>
    <col min="5" max="5" width="28.54296875" style="2" customWidth="1"/>
    <col min="6" max="6" width="17.81640625" style="5" customWidth="1"/>
    <col min="7" max="7" width="27" style="5" customWidth="1"/>
    <col min="8" max="9" width="19" style="5" customWidth="1"/>
    <col min="10" max="10" width="20.26953125" style="5" customWidth="1"/>
    <col min="11" max="11" width="29.7265625" style="2" customWidth="1"/>
    <col min="12" max="12" width="17.7265625" style="5" customWidth="1"/>
    <col min="13" max="13" width="18.54296875" style="2" customWidth="1"/>
    <col min="14" max="15" width="21.7265625" style="2" customWidth="1"/>
    <col min="16" max="16" width="19.81640625" style="2" customWidth="1"/>
    <col min="17" max="17" width="35.54296875" style="2" customWidth="1"/>
    <col min="18" max="18" width="17" style="2" customWidth="1"/>
    <col min="19" max="19" width="14.453125" style="5" customWidth="1"/>
    <col min="20" max="20" width="160" style="2" customWidth="1"/>
    <col min="21" max="21" width="41.7265625" style="2" customWidth="1"/>
    <col min="22" max="22" width="45.81640625" style="2" customWidth="1"/>
    <col min="23" max="23" width="30.453125" style="2" customWidth="1"/>
    <col min="24" max="24" width="36" style="2" hidden="1" customWidth="1"/>
    <col min="25" max="25" width="0" style="2" hidden="1" customWidth="1"/>
    <col min="26" max="72" width="11.453125" style="2" hidden="1" customWidth="1"/>
    <col min="73" max="73" width="11.453125" style="2" customWidth="1"/>
    <col min="74" max="16384" width="11.453125" style="2"/>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91" t="s">
        <v>372</v>
      </c>
      <c r="V2" s="1091"/>
      <c r="W2" s="109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91" t="s">
        <v>373</v>
      </c>
      <c r="V3" s="1091"/>
      <c r="W3" s="109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3"/>
      <c r="C5" s="3"/>
      <c r="D5" s="3"/>
      <c r="E5" s="3"/>
      <c r="F5" s="4"/>
      <c r="G5" s="4"/>
      <c r="H5" s="4"/>
      <c r="I5" s="4"/>
      <c r="J5" s="4"/>
      <c r="K5" s="4"/>
      <c r="L5" s="4"/>
      <c r="M5" s="4"/>
      <c r="N5" s="4"/>
      <c r="O5" s="4"/>
      <c r="P5" s="4"/>
      <c r="Q5" s="4"/>
      <c r="W5" s="6"/>
      <c r="X5" s="6"/>
    </row>
    <row r="6" spans="1:72" x14ac:dyDescent="0.35">
      <c r="A6" s="1030" t="s">
        <v>3</v>
      </c>
      <c r="B6" s="1030"/>
      <c r="C6" s="1030"/>
      <c r="D6" s="1030"/>
      <c r="E6" s="82"/>
      <c r="F6" s="1044" t="str">
        <f>[16]IdentRiesgo!B2</f>
        <v>Gestión Financiera - Presupuesto</v>
      </c>
      <c r="G6" s="1045"/>
      <c r="H6" s="1045"/>
      <c r="I6" s="1045"/>
      <c r="J6" s="1045"/>
      <c r="K6" s="1045"/>
      <c r="L6" s="1045"/>
      <c r="M6" s="1045"/>
      <c r="N6" s="1045"/>
      <c r="O6" s="1045"/>
      <c r="P6" s="1045"/>
      <c r="Q6" s="1045"/>
      <c r="R6" s="1045"/>
      <c r="S6" s="1045"/>
      <c r="T6" s="1045"/>
      <c r="U6" s="1045"/>
      <c r="V6" s="1046"/>
      <c r="W6" s="6"/>
      <c r="X6" s="6"/>
    </row>
    <row r="7" spans="1:72" ht="6.75" customHeight="1" x14ac:dyDescent="0.35">
      <c r="B7" s="3"/>
      <c r="C7" s="3"/>
      <c r="D7" s="3"/>
      <c r="E7" s="3"/>
      <c r="F7" s="7"/>
      <c r="G7" s="7"/>
      <c r="H7" s="7"/>
      <c r="I7" s="7"/>
      <c r="J7" s="7"/>
      <c r="K7" s="7"/>
      <c r="L7" s="7"/>
      <c r="M7" s="7"/>
      <c r="N7" s="7"/>
      <c r="O7" s="7"/>
      <c r="P7" s="7"/>
      <c r="Q7" s="7"/>
      <c r="R7" s="8"/>
      <c r="S7" s="8"/>
      <c r="T7" s="8"/>
      <c r="U7" s="8"/>
      <c r="V7" s="8"/>
      <c r="W7" s="6"/>
      <c r="X7" s="6"/>
    </row>
    <row r="8" spans="1:72" ht="39.75" customHeight="1" x14ac:dyDescent="0.35">
      <c r="A8" s="1030" t="s">
        <v>4</v>
      </c>
      <c r="B8" s="1030"/>
      <c r="C8" s="1030"/>
      <c r="D8" s="1030"/>
      <c r="E8" s="82"/>
      <c r="F8" s="1047" t="str">
        <f>[16]IdentRiesgo!B3</f>
        <v>Asegurar la oportuna provisión de recursos financieros necesarios para el autosostenimiento y desempeño eficaz y eficiente de la gestión financiera de la entidad mediante el registro de la ejecución presupuestal, la presentación de estados financieros y el recaudo de los ingresos y el pago de los compromisos.</v>
      </c>
      <c r="G8" s="1048"/>
      <c r="H8" s="1048"/>
      <c r="I8" s="1048"/>
      <c r="J8" s="1048"/>
      <c r="K8" s="1048"/>
      <c r="L8" s="1048"/>
      <c r="M8" s="1048"/>
      <c r="N8" s="1048"/>
      <c r="O8" s="1048"/>
      <c r="P8" s="1048"/>
      <c r="Q8" s="1048"/>
      <c r="R8" s="1048"/>
      <c r="S8" s="1048"/>
      <c r="T8" s="1048"/>
      <c r="U8" s="1048"/>
      <c r="V8" s="1049"/>
      <c r="W8" s="9"/>
      <c r="X8" s="9"/>
    </row>
    <row r="9" spans="1:72" ht="6.75" customHeight="1" x14ac:dyDescent="0.35">
      <c r="B9" s="10"/>
      <c r="C9" s="10"/>
      <c r="D9" s="10"/>
      <c r="E9" s="10"/>
      <c r="F9" s="11"/>
      <c r="G9" s="11"/>
      <c r="H9" s="11"/>
      <c r="I9" s="11"/>
      <c r="J9" s="11"/>
      <c r="K9" s="11"/>
      <c r="L9" s="11"/>
      <c r="M9" s="11"/>
      <c r="N9" s="11"/>
      <c r="O9" s="11"/>
      <c r="P9" s="11"/>
      <c r="Q9" s="11"/>
      <c r="R9" s="8"/>
      <c r="S9" s="8"/>
      <c r="T9" s="8"/>
      <c r="U9" s="8"/>
      <c r="V9" s="8"/>
      <c r="W9" s="6"/>
      <c r="X9" s="6"/>
    </row>
    <row r="10" spans="1:72" ht="15.5" x14ac:dyDescent="0.35">
      <c r="A10" s="1030" t="s">
        <v>5</v>
      </c>
      <c r="B10" s="1030"/>
      <c r="C10" s="1030"/>
      <c r="D10" s="1030"/>
      <c r="E10" s="82"/>
      <c r="F10" s="1072" t="s">
        <v>387</v>
      </c>
      <c r="G10" s="1073"/>
      <c r="H10" s="1073"/>
      <c r="I10" s="1073"/>
      <c r="J10" s="1073"/>
      <c r="K10" s="1073"/>
      <c r="L10" s="1073"/>
      <c r="M10" s="1073"/>
      <c r="N10" s="1073"/>
      <c r="O10" s="1073"/>
      <c r="P10" s="1073"/>
      <c r="Q10" s="1073"/>
      <c r="R10" s="1073"/>
      <c r="S10" s="1073"/>
      <c r="T10" s="1073"/>
      <c r="U10" s="1073"/>
      <c r="V10" s="1074"/>
      <c r="W10" s="12"/>
      <c r="X10" s="12"/>
    </row>
    <row r="11" spans="1:72" ht="5.25" customHeight="1" x14ac:dyDescent="0.35">
      <c r="B11" s="3"/>
      <c r="C11" s="3"/>
      <c r="D11" s="3"/>
      <c r="E11" s="3"/>
      <c r="F11" s="13"/>
      <c r="G11" s="13"/>
      <c r="H11" s="13"/>
      <c r="I11" s="13"/>
      <c r="J11" s="13"/>
      <c r="K11" s="13"/>
      <c r="L11" s="13"/>
      <c r="M11" s="13"/>
      <c r="N11" s="13"/>
      <c r="O11" s="13"/>
      <c r="P11" s="13"/>
      <c r="Q11" s="13"/>
      <c r="R11" s="8"/>
      <c r="S11" s="8"/>
      <c r="T11" s="8"/>
      <c r="U11" s="8"/>
      <c r="V11" s="8"/>
      <c r="W11" s="6"/>
      <c r="X11" s="6"/>
    </row>
    <row r="12" spans="1:72" ht="15.5" x14ac:dyDescent="0.35">
      <c r="A12" s="1030" t="s">
        <v>6</v>
      </c>
      <c r="B12" s="1030"/>
      <c r="C12" s="1030"/>
      <c r="D12" s="1030"/>
      <c r="E12" s="82"/>
      <c r="F12" s="1062">
        <f ca="1">NOW()</f>
        <v>43000.497892013889</v>
      </c>
      <c r="G12" s="1063"/>
      <c r="H12" s="1063"/>
      <c r="I12" s="1063"/>
      <c r="J12" s="1063"/>
      <c r="K12" s="1063"/>
      <c r="L12" s="1063"/>
      <c r="M12" s="1063"/>
      <c r="N12" s="1063"/>
      <c r="O12" s="1063"/>
      <c r="P12" s="1063"/>
      <c r="Q12" s="1063"/>
      <c r="R12" s="1063"/>
      <c r="S12" s="1063"/>
      <c r="T12" s="1063"/>
      <c r="U12" s="1063"/>
      <c r="V12" s="1064"/>
      <c r="W12" s="12"/>
      <c r="X12" s="12"/>
      <c r="AA12" s="2" t="s">
        <v>7</v>
      </c>
    </row>
    <row r="13" spans="1:72" ht="14.5" thickBot="1" x14ac:dyDescent="0.4">
      <c r="B13" s="3"/>
      <c r="C13" s="3"/>
      <c r="D13" s="3"/>
      <c r="E13" s="3"/>
      <c r="F13" s="14"/>
      <c r="G13" s="14"/>
      <c r="H13" s="15"/>
      <c r="I13" s="15"/>
      <c r="J13" s="15"/>
      <c r="K13" s="7"/>
      <c r="L13" s="15"/>
      <c r="M13" s="7"/>
      <c r="N13" s="7"/>
      <c r="O13" s="7"/>
      <c r="P13" s="7"/>
      <c r="Q13" s="7"/>
      <c r="R13" s="7"/>
      <c r="S13" s="15"/>
      <c r="T13" s="7"/>
      <c r="W13" s="6"/>
      <c r="X13" s="6"/>
      <c r="AA13" s="2"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16"/>
      <c r="J14" s="16"/>
      <c r="K14" s="1039" t="s">
        <v>13</v>
      </c>
      <c r="L14" s="1035" t="s">
        <v>14</v>
      </c>
      <c r="M14" s="1036"/>
      <c r="N14" s="1037"/>
      <c r="O14" s="130"/>
      <c r="P14" s="1042" t="s">
        <v>15</v>
      </c>
      <c r="Q14" s="1042"/>
      <c r="R14" s="1042"/>
      <c r="S14" s="1042" t="s">
        <v>16</v>
      </c>
      <c r="T14" s="1042"/>
      <c r="U14" s="1042"/>
      <c r="V14" s="1042"/>
    </row>
    <row r="15" spans="1:72" s="17" customFormat="1" ht="14.25" customHeight="1" x14ac:dyDescent="0.35">
      <c r="A15" s="1040" t="s">
        <v>17</v>
      </c>
      <c r="B15" s="1040" t="s">
        <v>18</v>
      </c>
      <c r="C15" s="131"/>
      <c r="D15" s="1040" t="s">
        <v>19</v>
      </c>
      <c r="E15" s="131"/>
      <c r="F15" s="1018" t="s">
        <v>20</v>
      </c>
      <c r="G15" s="1018"/>
      <c r="H15" s="1018"/>
      <c r="I15" s="127"/>
      <c r="J15" s="18"/>
      <c r="K15" s="1040"/>
      <c r="L15" s="1023" t="s">
        <v>21</v>
      </c>
      <c r="M15" s="1024"/>
      <c r="N15" s="1025"/>
      <c r="O15" s="129"/>
      <c r="P15" s="1023" t="s">
        <v>22</v>
      </c>
      <c r="Q15" s="1024"/>
      <c r="R15" s="1025"/>
      <c r="S15" s="1018" t="s">
        <v>23</v>
      </c>
      <c r="T15" s="1018" t="s">
        <v>24</v>
      </c>
      <c r="U15" s="1018" t="s">
        <v>5</v>
      </c>
      <c r="V15" s="1018" t="s">
        <v>25</v>
      </c>
    </row>
    <row r="16" spans="1:72" s="17" customFormat="1" ht="63" customHeight="1" x14ac:dyDescent="0.35">
      <c r="A16" s="1043"/>
      <c r="B16" s="1043"/>
      <c r="C16" s="132" t="s">
        <v>96</v>
      </c>
      <c r="D16" s="1043"/>
      <c r="E16" s="132" t="s">
        <v>97</v>
      </c>
      <c r="F16" s="18" t="s">
        <v>26</v>
      </c>
      <c r="G16" s="127" t="s">
        <v>96</v>
      </c>
      <c r="H16" s="18" t="s">
        <v>10</v>
      </c>
      <c r="I16" s="127" t="s">
        <v>96</v>
      </c>
      <c r="J16" s="18" t="s">
        <v>27</v>
      </c>
      <c r="K16" s="1041"/>
      <c r="L16" s="18" t="s">
        <v>26</v>
      </c>
      <c r="M16" s="18" t="s">
        <v>10</v>
      </c>
      <c r="N16" s="20" t="s">
        <v>27</v>
      </c>
      <c r="O16" s="132" t="s">
        <v>100</v>
      </c>
      <c r="P16" s="18" t="s">
        <v>28</v>
      </c>
      <c r="Q16" s="18" t="s">
        <v>24</v>
      </c>
      <c r="R16" s="18" t="s">
        <v>29</v>
      </c>
      <c r="S16" s="1018"/>
      <c r="T16" s="1018"/>
      <c r="U16" s="1018"/>
      <c r="V16" s="1018"/>
    </row>
    <row r="17" spans="1:70" s="17" customFormat="1" ht="63" customHeight="1" x14ac:dyDescent="0.35">
      <c r="A17" s="179"/>
      <c r="B17" s="179"/>
      <c r="C17" s="179"/>
      <c r="D17" s="179"/>
      <c r="E17" s="179"/>
      <c r="F17" s="180"/>
      <c r="G17" s="180"/>
      <c r="H17" s="180"/>
      <c r="I17" s="180"/>
      <c r="J17" s="180"/>
      <c r="K17" s="178"/>
      <c r="L17" s="181"/>
      <c r="M17" s="183"/>
      <c r="N17" s="179"/>
      <c r="O17" s="179"/>
      <c r="P17" s="180"/>
      <c r="Q17" s="180"/>
      <c r="R17" s="180"/>
      <c r="S17" s="181"/>
      <c r="T17" s="181"/>
      <c r="U17" s="181"/>
      <c r="V17" s="180"/>
    </row>
    <row r="18" spans="1:70" ht="409.6" customHeight="1" x14ac:dyDescent="0.35">
      <c r="A18" s="185" t="s">
        <v>148</v>
      </c>
      <c r="B18" s="186" t="s">
        <v>149</v>
      </c>
      <c r="C18" s="187" t="s">
        <v>150</v>
      </c>
      <c r="D18" s="188" t="s">
        <v>151</v>
      </c>
      <c r="E18" s="189" t="s">
        <v>106</v>
      </c>
      <c r="F18" s="190">
        <v>2</v>
      </c>
      <c r="G18" s="191" t="s">
        <v>152</v>
      </c>
      <c r="H18" s="192">
        <v>4</v>
      </c>
      <c r="I18" s="193" t="s">
        <v>108</v>
      </c>
      <c r="J18" s="194" t="s">
        <v>51</v>
      </c>
      <c r="K18" s="195" t="s">
        <v>153</v>
      </c>
      <c r="L18" s="1065" t="s">
        <v>10</v>
      </c>
      <c r="M18" s="1066"/>
      <c r="N18" s="196" t="s">
        <v>48</v>
      </c>
      <c r="O18" s="197" t="s">
        <v>154</v>
      </c>
      <c r="P18" s="198" t="s">
        <v>155</v>
      </c>
      <c r="Q18" s="199" t="s">
        <v>156</v>
      </c>
      <c r="R18" s="200" t="s">
        <v>157</v>
      </c>
      <c r="S18" s="201">
        <v>42916</v>
      </c>
      <c r="T18" s="585" t="s">
        <v>385</v>
      </c>
      <c r="U18" s="202" t="s">
        <v>158</v>
      </c>
      <c r="V18" s="203" t="s">
        <v>159</v>
      </c>
      <c r="X18" s="28" t="str">
        <f>IF(AND(F18=1,H18=5),$H$25,IF(AND(F18=1,H18=10),$J$25,IF(AND(F18=1,H18=20),$K$25," ")))</f>
        <v xml:space="preserve"> </v>
      </c>
      <c r="Y18" s="28" t="str">
        <f>IF(AND(F18=2,H18=5),$H$26,IF(AND(F18=2,H18=10),$J$26,IF(AND(F18=2,H18=20),$K$26," ")))</f>
        <v xml:space="preserve"> </v>
      </c>
      <c r="Z18" s="28" t="str">
        <f>IF(AND(F18=3,H18=5),$H$27,IF(AND(F18=3,H18=10),$J$27,IF(AND(F18=3,H18=20),$K$27," ")))</f>
        <v xml:space="preserve"> </v>
      </c>
      <c r="AA18" s="28" t="str">
        <f>IF(AND(F18=4,H18=5),$H$28,IF(AND(F18=4,H18=10),$J$28,IF(AND(F18=4,H18=20),$K$28," ")))</f>
        <v xml:space="preserve"> </v>
      </c>
      <c r="AB18" s="28" t="str">
        <f>IF(AND(F18=5,H18=5),$H$29,IF(AND(F18=5,H18=10),$J$29,IF(AND(F18=5,H18=20),$K$29," ")))</f>
        <v xml:space="preserve"> </v>
      </c>
      <c r="AE18" s="28" t="str">
        <f>IF(AND(L18&gt;0,[16]EvaluaciónRiesgoCorrup!$F$11&gt;75,F18=1,H18=5),$H$25,IF(AND(L18&gt;0,[16]EvaluaciónRiesgoCorrup!$F$11&gt;75,F18=1,H18=10),$J$25,IF(AND(L18&gt;0,[16]EvaluaciónRiesgoCorrup!$F$11&gt;75,F18=1,H18=20),$K$25," ")))</f>
        <v xml:space="preserve"> </v>
      </c>
      <c r="AF18" s="28" t="str">
        <f>IF(AND(L18&gt;0,[16]EvaluaciónRiesgoCorrup!$F$11&gt;75,F18=2,H18=5),$H$25,IF(AND(L18&gt;0,[16]EvaluaciónRiesgoCorrup!$F$11&gt;75,F18=2,H18=10),$J$25,IF(AND(L18&gt;0,[16]EvaluaciónRiesgoCorrup!$F$11&gt;75,F18=2,H18=20),$K$25," ")))</f>
        <v xml:space="preserve"> </v>
      </c>
      <c r="AG18" s="28" t="str">
        <f>IF(AND(L18&gt;0,[16]EvaluaciónRiesgoCorrup!$F$11&gt;75,F18=3,H18=5),$H$25,IF(AND(L18&gt;0,[16]EvaluaciónRiesgoCorrup!$F$11&gt;75,F18=3,H18=10),$J$25,IF(AND(L18&gt;0,[16]EvaluaciónRiesgoCorrup!$F$11&gt;75,F18=3,H18=20),$K$25," ")))</f>
        <v xml:space="preserve"> </v>
      </c>
      <c r="AH18" s="28" t="str">
        <f>IF(AND(L18&gt;0,[16]EvaluaciónRiesgoCorrup!$F$11&gt;75,F18=4,H18=5),$H$26,IF(AND(L18&gt;0,[16]EvaluaciónRiesgoCorrup!$F$11&gt;75,F18=4,H18=10),$J$26,IF(AND(L18&gt;0,[16]EvaluaciónRiesgoCorrup!$F$11&gt;75,F18=4,H18=20),$K$26," ")))</f>
        <v xml:space="preserve"> </v>
      </c>
      <c r="AI18" s="28" t="str">
        <f>IF(AND(L18&gt;0,[16]EvaluaciónRiesgoCorrup!$F$11&gt;75,F18=5,H18=5),$H$27,IF(AND(L18&gt;0,[16]EvaluaciónRiesgoCorrup!$F$11&gt;75,F18=5,H18=10),$J$27,IF(AND(L18&gt;0,[16]EvaluaciónRiesgoCorrup!$F$11&gt;75,F18=5,H18=20),$K$27," ")))</f>
        <v xml:space="preserve"> </v>
      </c>
      <c r="AK18" s="28" t="str">
        <f>IF(AND(L18&gt;0,[16]EvaluaciónRiesgoCorrup!$F$11&gt;50,[16]EvaluaciónRiesgoCorrup!$F$11&lt;76,F18=1,H18=5),$H$25,IF(AND(L18&gt;0,[16]EvaluaciónRiesgoCorrup!$F$11&gt;50,[16]EvaluaciónRiesgoCorrup!$F$11&lt;76,F18=1,H18=10),$J$25,IF(AND(L18&gt;0,[16]EvaluaciónRiesgoCorrup!$F$11&gt;50,[16]EvaluaciónRiesgoCorrup!$F$11&lt;76,F18=1,H18=20),$K$25," ")))</f>
        <v xml:space="preserve"> </v>
      </c>
      <c r="AL18" s="28" t="str">
        <f>IF(AND(L18&gt;0,[16]EvaluaciónRiesgoCorrup!$F$11&gt;50,[16]EvaluaciónRiesgoCorrup!$F$11&lt;76,F18=2,H18=5),$H$25,IF(AND(L18&gt;0,[16]EvaluaciónRiesgoCorrup!$F$11&gt;50,[16]EvaluaciónRiesgoCorrup!$F$11&lt;76,F18=2,H18=10),$J$25,IF(AND(L18&gt;0,[16]EvaluaciónRiesgoCorrup!$F$11&gt;50,[16]EvaluaciónRiesgoCorrup!$F$11&lt;76,F18=2,H18=20),$K$25," ")))</f>
        <v xml:space="preserve"> </v>
      </c>
      <c r="AM18" s="28" t="str">
        <f>IF(AND(L18&gt;0,[16]EvaluaciónRiesgoCorrup!$F$11&gt;50,[16]EvaluaciónRiesgoCorrup!$F$11&lt;76,F18=3,H18=5),$H$26,IF(AND(L18&gt;0,[16]EvaluaciónRiesgoCorrup!$F$11&gt;50,[16]EvaluaciónRiesgoCorrup!$F$11&lt;76,F18=3,H18=10),$J$26,IF(AND(L18&gt;0,[16]EvaluaciónRiesgoCorrup!$F$11&gt;50,[16]EvaluaciónRiesgoCorrup!$F$11&lt;76,F18=3,H18=20),$K$26," ")))</f>
        <v xml:space="preserve"> </v>
      </c>
      <c r="AN18" s="28" t="str">
        <f>IF(AND(L18&gt;0,[16]EvaluaciónRiesgoCorrup!$F$11&gt;50,[16]EvaluaciónRiesgoCorrup!$F$11&lt;76,F18=4,H18=5),$H$27,IF(AND(L18&gt;0,[16]EvaluaciónRiesgoCorrup!$F$11&gt;50,[16]EvaluaciónRiesgoCorrup!$F$11&lt;76,F18=4,H18=10),$J$27,IF(AND(L18&gt;0,[16]EvaluaciónRiesgoCorrup!$F$11&gt;50,[16]EvaluaciónRiesgoCorrup!$F$11&lt;76,F18=4,H18=20),$K$27," ")))</f>
        <v xml:space="preserve"> </v>
      </c>
      <c r="AO18" s="28" t="str">
        <f>IF(AND(L18&gt;0,[16]EvaluaciónRiesgoCorrup!$F$11&gt;50,[16]EvaluaciónRiesgoCorrup!$F$11&lt;76,F18=5,H18=5),$H$28,IF(AND(L18&gt;0,[16]EvaluaciónRiesgoCorrup!$F$11&gt;50,[16]EvaluaciónRiesgoCorrup!$F$11&lt;76,F18=5,H18=10),$J$28,IF(AND(L18&gt;0,[16]EvaluaciónRiesgoCorrup!$F$11&gt;50,[16]EvaluaciónRiesgoCorrup!$F$11&lt;76,F18=5,H18=20),$K$28," ")))</f>
        <v xml:space="preserve"> </v>
      </c>
      <c r="AR18" s="28" t="str">
        <f>IF(AND(L18&gt;0,[16]EvaluaciónRiesgoCorrup!$F$11&lt;51,F18=1,H18=5),$H$25,IF(AND(L18&gt;0,[16]EvaluaciónRiesgoCorrup!$F$11&lt;51,F18=1,H18=10),$J$25,IF(AND(L18&gt;0,[16]EvaluaciónRiesgoCorrup!$F$11&lt;51,F18=1,H18=20),K$25," ")))</f>
        <v xml:space="preserve"> </v>
      </c>
      <c r="AS18" s="28" t="str">
        <f>IF(AND(L18&gt;0,[16]EvaluaciónRiesgoCorrup!$F$11&lt;51,F18=2,H18=5),$H$26,IF(AND(L18&gt;0,[16]EvaluaciónRiesgoCorrup!$F$11&lt;51,F18=2,H18=10),$J$26,IF(AND(L18&gt;0,[16]EvaluaciónRiesgoCorrup!$F$11&lt;51,F18=2,H18=20),K$26," ")))</f>
        <v xml:space="preserve"> </v>
      </c>
      <c r="AT18" s="28" t="str">
        <f>IF(AND(L18&gt;0,[16]EvaluaciónRiesgoCorrup!$F$11&lt;51,F18=3,H18=5),$H$27,IF(AND(L18&gt;0,[16]EvaluaciónRiesgoCorrup!$F$11&lt;51,F18=3,H18=10),$J$27,IF(AND(L18&gt;0,[16]EvaluaciónRiesgoCorrup!$F$11&lt;51,F18=3,H18=20),K$27," ")))</f>
        <v xml:space="preserve"> </v>
      </c>
      <c r="AU18" s="28" t="str">
        <f>IF(AND(L18&gt;0,[16]EvaluaciónRiesgoCorrup!$F$11&lt;51,F18=4,H18=5),$H$28,IF(AND(L18&gt;0,[16]EvaluaciónRiesgoCorrup!$F$11&lt;51,F18=4,H18=10),$J$28,IF(AND(L18&gt;0,[16]EvaluaciónRiesgoCorrup!$F$11&lt;51,F18=4,H18=20),K$28," ")))</f>
        <v xml:space="preserve"> </v>
      </c>
      <c r="AV18" s="28" t="str">
        <f>IF(AND(L18&gt;0,[16]EvaluaciónRiesgoCorrup!$F$11&lt;51,F18=5,H18=5),$H$29,IF(AND(L18&gt;0,[16]EvaluaciónRiesgoCorrup!$F$11&lt;51,F18=5,H18=10),$J$29,IF(AND(L18&gt;0,[16]EvaluaciónRiesgoCorrup!$F$11&lt;51,F18=5,H18=20),K$29," ")))</f>
        <v xml:space="preserve"> </v>
      </c>
      <c r="AZ18" s="28" t="str">
        <f>IF(AND(M18&gt;0,[16]EvaluaciónRiesgoCorrup!$F$11&gt;75,F18=1,H18=5),$H$25,IF(AND(M18&gt;0,[16]EvaluaciónRiesgoCorrup!$F$11&gt;75,F18=1,H18=10),$H$25,IF(AND(M18&gt;0,[16]EvaluaciónRiesgoCorrup!$F$11&gt;75,F18=1,H18=20),$H$25," ")))</f>
        <v xml:space="preserve"> </v>
      </c>
      <c r="BA18" s="28" t="str">
        <f>IF(AND(M18&gt;0,[16]EvaluaciónRiesgoCorrup!$F$11&gt;75,F18=2,H18=5),$H$26,IF(AND(M18&gt;0,[16]EvaluaciónRiesgoCorrup!$F$11&gt;75,F18=2,H18=10),$H$26,IF(AND(M18&gt;0,[16]EvaluaciónRiesgoCorrup!$F$11&gt;75,F18=2,H18=20),$H$26," ")))</f>
        <v xml:space="preserve"> </v>
      </c>
      <c r="BB18" s="28" t="str">
        <f>IF(AND(M18&gt;0,[16]EvaluaciónRiesgoCorrup!$F$11&gt;75,F18=3,H18=5),$H$27,IF(AND(M18&gt;0,[16]EvaluaciónRiesgoCorrup!$F$11&gt;75,F18=3,H18=10),$H$27,IF(AND(M18&gt;0,[16]EvaluaciónRiesgoCorrup!$F$11&gt;75,F18=3,H18=20),$H$27," ")))</f>
        <v xml:space="preserve"> </v>
      </c>
      <c r="BC18" s="28" t="str">
        <f>IF(AND(M18&gt;0,[16]EvaluaciónRiesgoCorrup!$F$11&gt;75,F18=4,H18=5),$H$28,IF(AND(M18&gt;0,[16]EvaluaciónRiesgoCorrup!$F$11&gt;75,F18=4,H18=10),$H$28,IF(AND(M18&gt;0,[16]EvaluaciónRiesgoCorrup!$F$11&gt;75,F18=4,H18=20),$H$28," ")))</f>
        <v xml:space="preserve"> </v>
      </c>
      <c r="BD18" s="28" t="str">
        <f>IF(AND(M18&gt;0,[16]EvaluaciónRiesgoCorrup!$F$11&gt;75,F18=5,H18=5),$H$29,IF(AND(M18&gt;0,[16]EvaluaciónRiesgoCorrup!$F$11&gt;75,F18=5,H18=10),$H$29,IF(AND(M18&gt;0,[16]EvaluaciónRiesgoCorrup!$F$11&gt;75,F18=5,H18=20),$H$29," ")))</f>
        <v xml:space="preserve"> </v>
      </c>
      <c r="BG18" s="28" t="str">
        <f>IF(AND(M18&gt;0,[16]EvaluaciónRiesgoCorrup!$F$11&gt;50,[16]EvaluaciónRiesgoCorrup!$F$11&lt;76,F18=1,H18=5),$H$25,IF(AND(M18&gt;0,[16]EvaluaciónRiesgoCorrup!$F$11&gt;50,[16]EvaluaciónRiesgoCorrup!$F$11&lt;76,F18=1,H18=10),$H$25,IF(AND(M18&gt;0,[16]EvaluaciónRiesgoCorrup!$F$11&gt;50,[16]EvaluaciónRiesgoCorrup!$F$11&lt;76,F18=1,H18=20),$J$25," ")))</f>
        <v xml:space="preserve"> </v>
      </c>
      <c r="BH18" s="28" t="str">
        <f>IF(AND(M18&gt;0,[16]EvaluaciónRiesgoCorrup!$F$11&gt;50,[16]EvaluaciónRiesgoCorrup!$F$11&lt;76,F18=2,H18=5),$H$26,IF(AND(M18&gt;0,[16]EvaluaciónRiesgoCorrup!$F$11&gt;50,[16]EvaluaciónRiesgoCorrup!$F$11&lt;76,F18=2,H18=10),$H$26,IF(AND(M18&gt;0,[16]EvaluaciónRiesgoCorrup!$F$11&gt;50,[16]EvaluaciónRiesgoCorrup!$F$11&lt;76,F18=2,H18=20),$J$26," ")))</f>
        <v xml:space="preserve"> </v>
      </c>
      <c r="BI18" s="28" t="str">
        <f>IF(AND(M18&gt;0,[16]EvaluaciónRiesgoCorrup!$F$11&gt;50,[16]EvaluaciónRiesgoCorrup!$F$11&lt;76,F18=3,H18=5),$H$27,IF(AND(M18&gt;0,[16]EvaluaciónRiesgoCorrup!$F$11&gt;50,[16]EvaluaciónRiesgoCorrup!$F$11&lt;76,F18=3,H18=10),$H$27,IF(AND(M18&gt;0,[16]EvaluaciónRiesgoCorrup!$F$11&gt;50,[16]EvaluaciónRiesgoCorrup!$F$11&lt;76,F18=3,H18=20),$J$27," ")))</f>
        <v xml:space="preserve"> </v>
      </c>
      <c r="BJ18" s="28" t="str">
        <f>IF(AND(M18&gt;0,[16]EvaluaciónRiesgoCorrup!$F$11&gt;50,[16]EvaluaciónRiesgoCorrup!$F$11&lt;76,F18=4,H18=5),$H$28,IF(AND(M18&gt;0,[16]EvaluaciónRiesgoCorrup!$F$11&gt;50,[16]EvaluaciónRiesgoCorrup!$F$11&lt;76,F18=4,H18=10),$H$28,IF(AND(M18&gt;0,[16]EvaluaciónRiesgoCorrup!$F$11&gt;50,[16]EvaluaciónRiesgoCorrup!$F$11&lt;76,F18=4,H18=20),$J$28," ")))</f>
        <v xml:space="preserve"> </v>
      </c>
      <c r="BK18" s="28" t="str">
        <f>IF(AND(M18&gt;0,[16]EvaluaciónRiesgoCorrup!$F$11&gt;50,[16]EvaluaciónRiesgoCorrup!$F$11&lt;76,F18=5,H18=5),$H$29,IF(AND(M18&gt;0,[16]EvaluaciónRiesgoCorrup!$F$11&gt;50,[16]EvaluaciónRiesgoCorrup!$F$11&lt;76,F18=5,H18=10),$H$29,IF(AND(M18&gt;0,[16]EvaluaciónRiesgoCorrup!$F$11&gt;50,[16]EvaluaciónRiesgoCorrup!$F$11&lt;76,F18=5,H18=20),$J$29," ")))</f>
        <v xml:space="preserve"> </v>
      </c>
      <c r="BN18" s="28" t="str">
        <f>IF(AND(M18&gt;0,[16]EvaluaciónRiesgoCorrup!$F$11&lt;51,F18=1,H18=5),$H$25,IF(AND(M18&gt;0,[16]EvaluaciónRiesgoCorrup!$F$11&lt;51,F18=1,H18=10),$J$25,IF(AND(M18&gt;0,[16]EvaluaciónRiesgoCorrup!$F$11&lt;51,F18=1,H18=20),$K$25," ")))</f>
        <v xml:space="preserve"> </v>
      </c>
      <c r="BO18" s="28" t="str">
        <f>IF(AND(M18&gt;0,[16]EvaluaciónRiesgoCorrup!$F$11&lt;51,F18=2,H18=5),$H$26,IF(AND(M18&gt;0,[16]EvaluaciónRiesgoCorrup!$F$11&lt;51,F18=2,H18=10),$J$26,IF(AND(M18&gt;0,[16]EvaluaciónRiesgoCorrup!$F$11&lt;51,F18=2,H18=20),$K$26," ")))</f>
        <v xml:space="preserve"> </v>
      </c>
      <c r="BP18" s="28" t="str">
        <f>IF(AND(M18&gt;0,[16]EvaluaciónRiesgoCorrup!$F$11&lt;51,F18=3,H18=5),$H$27,IF(AND(M18&gt;0,[16]EvaluaciónRiesgoCorrup!$F$11&lt;51,F18=3,H18=10),$J$27,IF(AND(M18&gt;0,[16]EvaluaciónRiesgoCorrup!$F$11&lt;51,F18=3,H18=20),$K$27," ")))</f>
        <v xml:space="preserve"> </v>
      </c>
      <c r="BQ18" s="28" t="str">
        <f>IF(AND(M18&gt;0,[16]EvaluaciónRiesgoCorrup!$F$11&lt;51,F18=4,H18=5),$H$28,IF(AND(M18&gt;0,[16]EvaluaciónRiesgoCorrup!$F$11&lt;51,F18=4,H18=10),$J$28,IF(AND(M18&gt;0,[16]EvaluaciónRiesgoCorrup!$F$11&lt;51,F18=4,H18=20),$K$28," ")))</f>
        <v xml:space="preserve"> </v>
      </c>
      <c r="BR18" s="28" t="str">
        <f>IF(AND(M18&gt;0,[16]EvaluaciónRiesgoCorrup!$F$11&lt;51,F18=5,H18=5),$H$29,IF(AND(M18&gt;0,[16]EvaluaciónRiesgoCorrup!$F$11&lt;51,F18=5,H18=10),$J$29,IF(AND(M18&gt;0,[16]EvaluaciónRiesgoCorrup!$F$11&lt;51,F18=5,H18=20),$K$29," ")))</f>
        <v xml:space="preserve"> </v>
      </c>
    </row>
    <row r="19" spans="1:70" ht="253.5" customHeight="1" x14ac:dyDescent="0.35">
      <c r="A19" s="206" t="s">
        <v>165</v>
      </c>
      <c r="B19" s="207" t="s">
        <v>166</v>
      </c>
      <c r="C19" s="208" t="s">
        <v>167</v>
      </c>
      <c r="D19" s="209" t="s">
        <v>168</v>
      </c>
      <c r="E19" s="210" t="s">
        <v>106</v>
      </c>
      <c r="F19" s="211">
        <v>4</v>
      </c>
      <c r="G19" s="212" t="s">
        <v>114</v>
      </c>
      <c r="H19" s="213">
        <v>2</v>
      </c>
      <c r="I19" s="214" t="s">
        <v>169</v>
      </c>
      <c r="J19" s="215" t="s">
        <v>51</v>
      </c>
      <c r="K19" s="216" t="s">
        <v>170</v>
      </c>
      <c r="L19" s="1065" t="s">
        <v>26</v>
      </c>
      <c r="M19" s="1066"/>
      <c r="N19" s="217" t="s">
        <v>49</v>
      </c>
      <c r="O19" s="218" t="s">
        <v>154</v>
      </c>
      <c r="P19" s="219" t="s">
        <v>155</v>
      </c>
      <c r="Q19" s="220" t="s">
        <v>171</v>
      </c>
      <c r="R19" s="221" t="s">
        <v>172</v>
      </c>
      <c r="S19" s="204">
        <v>42916</v>
      </c>
      <c r="T19" s="605" t="s">
        <v>386</v>
      </c>
      <c r="U19" s="222" t="s">
        <v>173</v>
      </c>
      <c r="V19" s="223" t="s">
        <v>174</v>
      </c>
      <c r="X19" s="28" t="str">
        <f>IF(AND(F19=1,H19=5),$H$25,IF(AND(F19=1,H19=10),$J$25,IF(AND(F19=1,H19=20),$K$25," ")))</f>
        <v xml:space="preserve"> </v>
      </c>
      <c r="Y19" s="28" t="str">
        <f>IF(AND(F19=2,H19=5),$H$26,IF(AND(F19=2,H19=10),$J$26,IF(AND(F19=2,H19=20),$K$26," ")))</f>
        <v xml:space="preserve"> </v>
      </c>
      <c r="Z19" s="28" t="str">
        <f>IF(AND(F19=3,H19=5),$H$27,IF(AND(F19=3,H19=10),$J$27,IF(AND(F19=3,H19=20),$K$27," ")))</f>
        <v xml:space="preserve"> </v>
      </c>
      <c r="AA19" s="28" t="str">
        <f>IF(AND(F19=4,H19=5),$H$28,IF(AND(F19=4,H19=10),$J$28,IF(AND(F19=4,H19=20),$K$28," ")))</f>
        <v xml:space="preserve"> </v>
      </c>
      <c r="AB19" s="28" t="str">
        <f>IF(AND(F19=5,H19=5),$H$29,IF(AND(F19=5,H19=10),$J$29,IF(AND(F19=5,H19=20),$K$29," ")))</f>
        <v xml:space="preserve"> </v>
      </c>
      <c r="AE19" s="28" t="str">
        <f>IF(AND(L19&gt;0,[16]EvaluaciónRiesgoCorrup!$F$11&gt;75,F19=1,H19=5),$H$25,IF(AND(L19&gt;0,[16]EvaluaciónRiesgoCorrup!$F$11&gt;75,F19=1,H19=10),$J$25,IF(AND(L19&gt;0,[16]EvaluaciónRiesgoCorrup!$F$11&gt;75,F19=1,H19=20),$K$25," ")))</f>
        <v xml:space="preserve"> </v>
      </c>
      <c r="AF19" s="28" t="str">
        <f>IF(AND(L19&gt;0,[16]EvaluaciónRiesgoCorrup!$F$11&gt;75,F19=2,H19=5),$H$25,IF(AND(L19&gt;0,[16]EvaluaciónRiesgoCorrup!$F$11&gt;75,F19=2,H19=10),$J$25,IF(AND(L19&gt;0,[16]EvaluaciónRiesgoCorrup!$F$11&gt;75,F19=2,H19=20),$K$25," ")))</f>
        <v xml:space="preserve"> </v>
      </c>
      <c r="AG19" s="28" t="str">
        <f>IF(AND(L19&gt;0,[16]EvaluaciónRiesgoCorrup!$F$11&gt;75,F19=3,H19=5),$H$25,IF(AND(L19&gt;0,[16]EvaluaciónRiesgoCorrup!$F$11&gt;75,F19=3,H19=10),$J$25,IF(AND(L19&gt;0,[16]EvaluaciónRiesgoCorrup!$F$11&gt;75,F19=3,H19=20),$K$25," ")))</f>
        <v xml:space="preserve"> </v>
      </c>
      <c r="AH19" s="28" t="str">
        <f>IF(AND(L19&gt;0,[16]EvaluaciónRiesgoCorrup!$F$11&gt;75,F19=4,H19=5),$H$26,IF(AND(L19&gt;0,[16]EvaluaciónRiesgoCorrup!$F$11&gt;75,F19=4,H19=10),$J$26,IF(AND(L19&gt;0,[16]EvaluaciónRiesgoCorrup!$F$11&gt;75,F19=4,H19=20),$K$26," ")))</f>
        <v xml:space="preserve"> </v>
      </c>
      <c r="AI19" s="28" t="str">
        <f>IF(AND(L19&gt;0,[16]EvaluaciónRiesgoCorrup!$F$11&gt;75,F19=5,H19=5),$H$27,IF(AND(L19&gt;0,[16]EvaluaciónRiesgoCorrup!$F$11&gt;75,F19=5,H19=10),$J$27,IF(AND(L19&gt;0,[16]EvaluaciónRiesgoCorrup!$F$11&gt;75,F19=5,H19=20),$K$27," ")))</f>
        <v xml:space="preserve"> </v>
      </c>
      <c r="AK19" s="28" t="str">
        <f>IF(AND(L19&gt;0,[16]EvaluaciónRiesgoCorrup!$F$11&gt;50,[16]EvaluaciónRiesgoCorrup!$F$11&lt;76,F19=1,H19=5),$H$25,IF(AND(L19&gt;0,[16]EvaluaciónRiesgoCorrup!$F$11&gt;50,[16]EvaluaciónRiesgoCorrup!$F$11&lt;76,F19=1,H19=10),$J$25,IF(AND(L19&gt;0,[16]EvaluaciónRiesgoCorrup!$F$11&gt;50,[16]EvaluaciónRiesgoCorrup!$F$11&lt;76,F19=1,H19=20),$K$25," ")))</f>
        <v xml:space="preserve"> </v>
      </c>
      <c r="AL19" s="28" t="str">
        <f>IF(AND(L19&gt;0,[16]EvaluaciónRiesgoCorrup!$F$11&gt;50,[16]EvaluaciónRiesgoCorrup!$F$11&lt;76,F19=2,H19=5),$H$25,IF(AND(L19&gt;0,[16]EvaluaciónRiesgoCorrup!$F$11&gt;50,[16]EvaluaciónRiesgoCorrup!$F$11&lt;76,F19=2,H19=10),$J$25,IF(AND(L19&gt;0,[16]EvaluaciónRiesgoCorrup!$F$11&gt;50,[16]EvaluaciónRiesgoCorrup!$F$11&lt;76,F19=2,H19=20),$K$25," ")))</f>
        <v xml:space="preserve"> </v>
      </c>
      <c r="AM19" s="28" t="str">
        <f>IF(AND(L19&gt;0,[16]EvaluaciónRiesgoCorrup!$F$11&gt;50,[16]EvaluaciónRiesgoCorrup!$F$11&lt;76,F19=3,H19=5),$H$26,IF(AND(L19&gt;0,[16]EvaluaciónRiesgoCorrup!$F$11&gt;50,[16]EvaluaciónRiesgoCorrup!$F$11&lt;76,F19=3,H19=10),$J$26,IF(AND(L19&gt;0,[16]EvaluaciónRiesgoCorrup!$F$11&gt;50,[16]EvaluaciónRiesgoCorrup!$F$11&lt;76,F19=3,H19=20),$K$26," ")))</f>
        <v xml:space="preserve"> </v>
      </c>
      <c r="AN19" s="28" t="str">
        <f>IF(AND(L19&gt;0,[16]EvaluaciónRiesgoCorrup!$F$11&gt;50,[16]EvaluaciónRiesgoCorrup!$F$11&lt;76,F19=4,H19=5),$H$27,IF(AND(L19&gt;0,[16]EvaluaciónRiesgoCorrup!$F$11&gt;50,[16]EvaluaciónRiesgoCorrup!$F$11&lt;76,F19=4,H19=10),$J$27,IF(AND(L19&gt;0,[16]EvaluaciónRiesgoCorrup!$F$11&gt;50,[16]EvaluaciónRiesgoCorrup!$F$11&lt;76,F19=4,H19=20),$K$27," ")))</f>
        <v xml:space="preserve"> </v>
      </c>
      <c r="AO19" s="28" t="str">
        <f>IF(AND(L19&gt;0,[16]EvaluaciónRiesgoCorrup!$F$11&gt;50,[16]EvaluaciónRiesgoCorrup!$F$11&lt;76,F19=5,H19=5),$H$28,IF(AND(L19&gt;0,[16]EvaluaciónRiesgoCorrup!$F$11&gt;50,[16]EvaluaciónRiesgoCorrup!$F$11&lt;76,F19=5,H19=10),$J$28,IF(AND(L19&gt;0,[16]EvaluaciónRiesgoCorrup!$F$11&gt;50,[16]EvaluaciónRiesgoCorrup!$F$11&lt;76,F19=5,H19=20),$K$28," ")))</f>
        <v xml:space="preserve"> </v>
      </c>
      <c r="AR19" s="28" t="str">
        <f>IF(AND(L19&gt;0,[16]EvaluaciónRiesgoCorrup!$F$11&lt;51,F19=1,H19=5),$H$25,IF(AND(L19&gt;0,[16]EvaluaciónRiesgoCorrup!$F$11&lt;51,F19=1,H19=10),$J$25,IF(AND(L19&gt;0,[16]EvaluaciónRiesgoCorrup!$F$11&lt;51,F19=1,H19=20),K$25," ")))</f>
        <v xml:space="preserve"> </v>
      </c>
      <c r="AS19" s="28" t="str">
        <f>IF(AND(L19&gt;0,[16]EvaluaciónRiesgoCorrup!$F$11&lt;51,F19=2,H19=5),$H$26,IF(AND(L19&gt;0,[16]EvaluaciónRiesgoCorrup!$F$11&lt;51,F19=2,H19=10),$J$26,IF(AND(L19&gt;0,[16]EvaluaciónRiesgoCorrup!$F$11&lt;51,F19=2,H19=20),K$26," ")))</f>
        <v xml:space="preserve"> </v>
      </c>
      <c r="AT19" s="28" t="str">
        <f>IF(AND(L19&gt;0,[16]EvaluaciónRiesgoCorrup!$F$11&lt;51,F19=3,H19=5),$H$27,IF(AND(L19&gt;0,[16]EvaluaciónRiesgoCorrup!$F$11&lt;51,F19=3,H19=10),$J$27,IF(AND(L19&gt;0,[16]EvaluaciónRiesgoCorrup!$F$11&lt;51,F19=3,H19=20),K$27," ")))</f>
        <v xml:space="preserve"> </v>
      </c>
      <c r="AU19" s="28" t="str">
        <f>IF(AND(L19&gt;0,[16]EvaluaciónRiesgoCorrup!$F$11&lt;51,F19=4,H19=5),$H$28,IF(AND(L19&gt;0,[16]EvaluaciónRiesgoCorrup!$F$11&lt;51,F19=4,H19=10),$J$28,IF(AND(L19&gt;0,[16]EvaluaciónRiesgoCorrup!$F$11&lt;51,F19=4,H19=20),K$28," ")))</f>
        <v xml:space="preserve"> </v>
      </c>
      <c r="AV19" s="28" t="str">
        <f>IF(AND(L19&gt;0,[16]EvaluaciónRiesgoCorrup!$F$11&lt;51,F19=5,H19=5),$H$29,IF(AND(L19&gt;0,[16]EvaluaciónRiesgoCorrup!$F$11&lt;51,F19=5,H19=10),$J$29,IF(AND(L19&gt;0,[16]EvaluaciónRiesgoCorrup!$F$11&lt;51,F19=5,H19=20),K$29," ")))</f>
        <v xml:space="preserve"> </v>
      </c>
      <c r="AZ19" s="28" t="str">
        <f>IF(AND(M19&gt;0,[16]EvaluaciónRiesgoCorrup!$F$11&gt;75,F19=1,H19=5),$H$25,IF(AND(M19&gt;0,[16]EvaluaciónRiesgoCorrup!$F$11&gt;75,F19=1,H19=10),$H$25,IF(AND(M19&gt;0,[16]EvaluaciónRiesgoCorrup!$F$11&gt;75,F19=1,H19=20),$H$25," ")))</f>
        <v xml:space="preserve"> </v>
      </c>
      <c r="BA19" s="28" t="str">
        <f>IF(AND(M19&gt;0,[16]EvaluaciónRiesgoCorrup!$F$11&gt;75,F19=2,H19=5),$H$26,IF(AND(M19&gt;0,[16]EvaluaciónRiesgoCorrup!$F$11&gt;75,F19=2,H19=10),$H$26,IF(AND(M19&gt;0,[16]EvaluaciónRiesgoCorrup!$F$11&gt;75,F19=2,H19=20),$H$26," ")))</f>
        <v xml:space="preserve"> </v>
      </c>
      <c r="BB19" s="28" t="str">
        <f>IF(AND(M19&gt;0,[16]EvaluaciónRiesgoCorrup!$F$11&gt;75,F19=3,H19=5),$H$27,IF(AND(M19&gt;0,[16]EvaluaciónRiesgoCorrup!$F$11&gt;75,F19=3,H19=10),$H$27,IF(AND(M19&gt;0,[16]EvaluaciónRiesgoCorrup!$F$11&gt;75,F19=3,H19=20),$H$27," ")))</f>
        <v xml:space="preserve"> </v>
      </c>
      <c r="BC19" s="28" t="str">
        <f>IF(AND(M19&gt;0,[16]EvaluaciónRiesgoCorrup!$F$11&gt;75,F19=4,H19=5),$H$28,IF(AND(M19&gt;0,[16]EvaluaciónRiesgoCorrup!$F$11&gt;75,F19=4,H19=10),$H$28,IF(AND(M19&gt;0,[16]EvaluaciónRiesgoCorrup!$F$11&gt;75,F19=4,H19=20),$H$28," ")))</f>
        <v xml:space="preserve"> </v>
      </c>
      <c r="BD19" s="28" t="str">
        <f>IF(AND(M19&gt;0,[16]EvaluaciónRiesgoCorrup!$F$11&gt;75,F19=5,H19=5),$H$29,IF(AND(M19&gt;0,[16]EvaluaciónRiesgoCorrup!$F$11&gt;75,F19=5,H19=10),$H$29,IF(AND(M19&gt;0,[16]EvaluaciónRiesgoCorrup!$F$11&gt;75,F19=5,H19=20),$H$29," ")))</f>
        <v xml:space="preserve"> </v>
      </c>
      <c r="BG19" s="28" t="str">
        <f>IF(AND(M19&gt;0,[16]EvaluaciónRiesgoCorrup!$F$11&gt;50,[16]EvaluaciónRiesgoCorrup!$F$11&lt;76,F19=1,H19=5),$H$25,IF(AND(M19&gt;0,[16]EvaluaciónRiesgoCorrup!$F$11&gt;50,[16]EvaluaciónRiesgoCorrup!$F$11&lt;76,F19=1,H19=10),$H$25,IF(AND(M19&gt;0,[16]EvaluaciónRiesgoCorrup!$F$11&gt;50,[16]EvaluaciónRiesgoCorrup!$F$11&lt;76,F19=1,H19=20),$J$25," ")))</f>
        <v xml:space="preserve"> </v>
      </c>
      <c r="BH19" s="28" t="str">
        <f>IF(AND(M19&gt;0,[16]EvaluaciónRiesgoCorrup!$F$11&gt;50,[16]EvaluaciónRiesgoCorrup!$F$11&lt;76,F19=2,H19=5),$H$26,IF(AND(M19&gt;0,[16]EvaluaciónRiesgoCorrup!$F$11&gt;50,[16]EvaluaciónRiesgoCorrup!$F$11&lt;76,F19=2,H19=10),$H$26,IF(AND(M19&gt;0,[16]EvaluaciónRiesgoCorrup!$F$11&gt;50,[16]EvaluaciónRiesgoCorrup!$F$11&lt;76,F19=2,H19=20),$J$26," ")))</f>
        <v xml:space="preserve"> </v>
      </c>
      <c r="BI19" s="28" t="str">
        <f>IF(AND(M19&gt;0,[16]EvaluaciónRiesgoCorrup!$F$11&gt;50,[16]EvaluaciónRiesgoCorrup!$F$11&lt;76,F19=3,H19=5),$H$27,IF(AND(M19&gt;0,[16]EvaluaciónRiesgoCorrup!$F$11&gt;50,[16]EvaluaciónRiesgoCorrup!$F$11&lt;76,F19=3,H19=10),$H$27,IF(AND(M19&gt;0,[16]EvaluaciónRiesgoCorrup!$F$11&gt;50,[16]EvaluaciónRiesgoCorrup!$F$11&lt;76,F19=3,H19=20),$J$27," ")))</f>
        <v xml:space="preserve"> </v>
      </c>
      <c r="BJ19" s="28" t="str">
        <f>IF(AND(M19&gt;0,[16]EvaluaciónRiesgoCorrup!$F$11&gt;50,[16]EvaluaciónRiesgoCorrup!$F$11&lt;76,F19=4,H19=5),$H$28,IF(AND(M19&gt;0,[16]EvaluaciónRiesgoCorrup!$F$11&gt;50,[16]EvaluaciónRiesgoCorrup!$F$11&lt;76,F19=4,H19=10),$H$28,IF(AND(M19&gt;0,[16]EvaluaciónRiesgoCorrup!$F$11&gt;50,[16]EvaluaciónRiesgoCorrup!$F$11&lt;76,F19=4,H19=20),$J$28," ")))</f>
        <v xml:space="preserve"> </v>
      </c>
      <c r="BK19" s="28" t="str">
        <f>IF(AND(M19&gt;0,[16]EvaluaciónRiesgoCorrup!$F$11&gt;50,[16]EvaluaciónRiesgoCorrup!$F$11&lt;76,F19=5,H19=5),$H$29,IF(AND(M19&gt;0,[16]EvaluaciónRiesgoCorrup!$F$11&gt;50,[16]EvaluaciónRiesgoCorrup!$F$11&lt;76,F19=5,H19=10),$H$29,IF(AND(M19&gt;0,[16]EvaluaciónRiesgoCorrup!$F$11&gt;50,[16]EvaluaciónRiesgoCorrup!$F$11&lt;76,F19=5,H19=20),$J$29," ")))</f>
        <v xml:space="preserve"> </v>
      </c>
      <c r="BN19" s="28" t="str">
        <f>IF(AND(M19&gt;0,[16]EvaluaciónRiesgoCorrup!$F$11&lt;51,F19=1,H19=5),$H$25,IF(AND(M19&gt;0,[16]EvaluaciónRiesgoCorrup!$F$11&lt;51,F19=1,H19=10),$J$25,IF(AND(M19&gt;0,[16]EvaluaciónRiesgoCorrup!$F$11&lt;51,F19=1,H19=20),$K$25," ")))</f>
        <v xml:space="preserve"> </v>
      </c>
      <c r="BO19" s="28" t="str">
        <f>IF(AND(M19&gt;0,[16]EvaluaciónRiesgoCorrup!$F$11&lt;51,F19=2,H19=5),$H$26,IF(AND(M19&gt;0,[16]EvaluaciónRiesgoCorrup!$F$11&lt;51,F19=2,H19=10),$J$26,IF(AND(M19&gt;0,[16]EvaluaciónRiesgoCorrup!$F$11&lt;51,F19=2,H19=20),$K$26," ")))</f>
        <v xml:space="preserve"> </v>
      </c>
      <c r="BP19" s="28" t="str">
        <f>IF(AND(M19&gt;0,[16]EvaluaciónRiesgoCorrup!$F$11&lt;51,F19=3,H19=5),$H$27,IF(AND(M19&gt;0,[16]EvaluaciónRiesgoCorrup!$F$11&lt;51,F19=3,H19=10),$J$27,IF(AND(M19&gt;0,[16]EvaluaciónRiesgoCorrup!$F$11&lt;51,F19=3,H19=20),$K$27," ")))</f>
        <v xml:space="preserve"> </v>
      </c>
      <c r="BQ19" s="28" t="str">
        <f>IF(AND(M19&gt;0,[16]EvaluaciónRiesgoCorrup!$F$11&lt;51,F19=4,H19=5),$H$28,IF(AND(M19&gt;0,[16]EvaluaciónRiesgoCorrup!$F$11&lt;51,F19=4,H19=10),$J$28,IF(AND(M19&gt;0,[16]EvaluaciónRiesgoCorrup!$F$11&lt;51,F19=4,H19=20),$K$28," ")))</f>
        <v xml:space="preserve"> </v>
      </c>
      <c r="BR19" s="28" t="str">
        <f>IF(AND(M19&gt;0,[16]EvaluaciónRiesgoCorrup!$F$11&lt;51,F19=5,H19=5),$H$29,IF(AND(M19&gt;0,[16]EvaluaciónRiesgoCorrup!$F$11&lt;51,F19=5,H19=10),$J$29,IF(AND(M19&gt;0,[16]EvaluaciónRiesgoCorrup!$F$11&lt;51,F19=5,H19=20),$K$29," ")))</f>
        <v xml:space="preserve"> </v>
      </c>
    </row>
    <row r="20" spans="1:70" ht="409.6" customHeight="1" x14ac:dyDescent="0.35">
      <c r="A20" s="224" t="s">
        <v>160</v>
      </c>
      <c r="B20" s="225" t="s">
        <v>161</v>
      </c>
      <c r="C20" s="226" t="s">
        <v>162</v>
      </c>
      <c r="D20" s="226" t="s">
        <v>163</v>
      </c>
      <c r="E20" s="227" t="s">
        <v>119</v>
      </c>
      <c r="F20" s="228">
        <v>1</v>
      </c>
      <c r="G20" s="229" t="s">
        <v>121</v>
      </c>
      <c r="H20" s="230">
        <v>20</v>
      </c>
      <c r="I20" s="231" t="s">
        <v>122</v>
      </c>
      <c r="J20" s="232" t="s">
        <v>49</v>
      </c>
      <c r="K20" s="233" t="s">
        <v>74</v>
      </c>
      <c r="L20" s="1065" t="s">
        <v>10</v>
      </c>
      <c r="M20" s="1066"/>
      <c r="N20" s="586" t="s">
        <v>48</v>
      </c>
      <c r="O20" s="234" t="s">
        <v>154</v>
      </c>
      <c r="P20" s="235" t="s">
        <v>75</v>
      </c>
      <c r="Q20" s="236" t="s">
        <v>164</v>
      </c>
      <c r="R20" s="237" t="s">
        <v>76</v>
      </c>
      <c r="S20" s="238">
        <v>42916</v>
      </c>
      <c r="T20" s="606" t="s">
        <v>388</v>
      </c>
      <c r="U20" s="239" t="s">
        <v>158</v>
      </c>
      <c r="V20" s="240" t="s">
        <v>175</v>
      </c>
    </row>
    <row r="21" spans="1:70" x14ac:dyDescent="0.35">
      <c r="A21" s="28"/>
      <c r="B21" s="30"/>
      <c r="C21" s="105"/>
      <c r="D21" s="105"/>
      <c r="E21" s="33"/>
    </row>
    <row r="22" spans="1:70" ht="14.5" thickBot="1" x14ac:dyDescent="0.4">
      <c r="A22" s="28"/>
      <c r="B22" s="30"/>
      <c r="C22" s="30"/>
      <c r="D22" s="30"/>
      <c r="E22" s="33"/>
      <c r="H22" s="32"/>
      <c r="I22" s="32"/>
      <c r="J22" s="32"/>
    </row>
    <row r="23" spans="1:70" ht="14.5" thickBot="1" x14ac:dyDescent="0.4">
      <c r="A23" s="6"/>
      <c r="B23" s="33"/>
      <c r="C23" s="33"/>
      <c r="D23" s="33"/>
      <c r="E23" s="33"/>
      <c r="F23" s="1019" t="s">
        <v>26</v>
      </c>
      <c r="G23" s="84"/>
      <c r="H23" s="1021" t="s">
        <v>10</v>
      </c>
      <c r="I23" s="1021"/>
      <c r="J23" s="1021"/>
      <c r="K23" s="1022"/>
      <c r="L23" s="2"/>
      <c r="Q23" s="5"/>
      <c r="S23" s="2"/>
    </row>
    <row r="24" spans="1:70" ht="32.25" customHeight="1" thickBot="1" x14ac:dyDescent="0.4">
      <c r="A24" s="5"/>
      <c r="B24" s="34" t="s">
        <v>42</v>
      </c>
      <c r="C24" s="34"/>
      <c r="D24" s="34"/>
      <c r="E24" s="34"/>
      <c r="F24" s="1020"/>
      <c r="G24" s="128"/>
      <c r="H24" s="35" t="s">
        <v>43</v>
      </c>
      <c r="I24" s="35"/>
      <c r="J24" s="36" t="s">
        <v>44</v>
      </c>
      <c r="K24" s="35" t="s">
        <v>45</v>
      </c>
      <c r="L24" s="2"/>
      <c r="Q24" s="5"/>
      <c r="S24" s="2"/>
    </row>
    <row r="25" spans="1:70" ht="14.5" thickBot="1" x14ac:dyDescent="0.4">
      <c r="B25" s="5" t="s">
        <v>46</v>
      </c>
      <c r="C25" s="5"/>
      <c r="F25" s="37" t="s">
        <v>47</v>
      </c>
      <c r="G25" s="37"/>
      <c r="H25" s="38" t="s">
        <v>48</v>
      </c>
      <c r="I25" s="38"/>
      <c r="J25" s="38" t="s">
        <v>48</v>
      </c>
      <c r="K25" s="39" t="s">
        <v>49</v>
      </c>
      <c r="L25" s="2"/>
      <c r="Q25" s="5"/>
      <c r="S25" s="2"/>
    </row>
    <row r="26" spans="1:70" ht="14.5" thickBot="1" x14ac:dyDescent="0.4">
      <c r="F26" s="37" t="s">
        <v>50</v>
      </c>
      <c r="G26" s="37"/>
      <c r="H26" s="38" t="s">
        <v>48</v>
      </c>
      <c r="I26" s="38"/>
      <c r="J26" s="39" t="s">
        <v>49</v>
      </c>
      <c r="K26" s="40" t="s">
        <v>51</v>
      </c>
      <c r="L26" s="2"/>
      <c r="Q26" s="5"/>
      <c r="S26" s="2"/>
    </row>
    <row r="27" spans="1:70" ht="14.5" thickBot="1" x14ac:dyDescent="0.4">
      <c r="F27" s="37" t="s">
        <v>52</v>
      </c>
      <c r="G27" s="37"/>
      <c r="H27" s="39" t="s">
        <v>49</v>
      </c>
      <c r="I27" s="39"/>
      <c r="J27" s="40" t="s">
        <v>51</v>
      </c>
      <c r="K27" s="41" t="s">
        <v>53</v>
      </c>
      <c r="L27" s="2"/>
      <c r="Q27" s="5"/>
      <c r="S27" s="2"/>
    </row>
    <row r="28" spans="1:70" ht="14.5" thickBot="1" x14ac:dyDescent="0.4">
      <c r="F28" s="37" t="s">
        <v>54</v>
      </c>
      <c r="G28" s="37"/>
      <c r="H28" s="39" t="s">
        <v>49</v>
      </c>
      <c r="I28" s="39"/>
      <c r="J28" s="40" t="s">
        <v>51</v>
      </c>
      <c r="K28" s="41" t="s">
        <v>53</v>
      </c>
      <c r="L28" s="2"/>
      <c r="Q28" s="5"/>
      <c r="S28" s="2"/>
    </row>
    <row r="29" spans="1:70" ht="14.5" thickBot="1" x14ac:dyDescent="0.4">
      <c r="F29" s="37" t="s">
        <v>55</v>
      </c>
      <c r="G29" s="37"/>
      <c r="H29" s="39" t="s">
        <v>49</v>
      </c>
      <c r="I29" s="39"/>
      <c r="J29" s="40" t="s">
        <v>51</v>
      </c>
      <c r="K29" s="41" t="s">
        <v>53</v>
      </c>
      <c r="L29" s="2"/>
      <c r="Q29" s="5"/>
      <c r="S29" s="2"/>
    </row>
    <row r="30" spans="1:70" x14ac:dyDescent="0.35">
      <c r="F30" s="2"/>
      <c r="G30" s="2"/>
      <c r="H30" s="2"/>
      <c r="I30" s="2"/>
      <c r="J30" s="2"/>
      <c r="K30" s="5"/>
      <c r="M30" s="5"/>
    </row>
    <row r="31" spans="1:70" x14ac:dyDescent="0.35">
      <c r="F31" s="42" t="s">
        <v>56</v>
      </c>
      <c r="G31" s="42"/>
      <c r="H31" s="2"/>
      <c r="I31" s="2"/>
      <c r="J31" s="2"/>
      <c r="K31" s="5"/>
      <c r="M31" s="5"/>
      <c r="N31" s="5"/>
      <c r="O31" s="5"/>
      <c r="P31" s="5"/>
    </row>
    <row r="32" spans="1:70" x14ac:dyDescent="0.35">
      <c r="F32" s="43" t="s">
        <v>57</v>
      </c>
      <c r="G32" s="43"/>
      <c r="H32" s="2"/>
      <c r="I32" s="2"/>
      <c r="J32" s="2"/>
      <c r="K32" s="5"/>
      <c r="M32" s="5"/>
      <c r="N32" s="5"/>
      <c r="O32" s="5"/>
      <c r="P32" s="5"/>
    </row>
    <row r="33" spans="6:16" x14ac:dyDescent="0.35">
      <c r="F33" s="44" t="s">
        <v>58</v>
      </c>
      <c r="G33" s="44"/>
      <c r="H33" s="2"/>
      <c r="I33" s="2"/>
      <c r="J33" s="2"/>
      <c r="K33" s="5"/>
      <c r="M33" s="5"/>
      <c r="N33" s="5"/>
      <c r="O33" s="5"/>
      <c r="P33" s="5"/>
    </row>
    <row r="34" spans="6:16" x14ac:dyDescent="0.35">
      <c r="F34" s="45" t="s">
        <v>59</v>
      </c>
      <c r="G34" s="45"/>
      <c r="H34" s="2"/>
      <c r="I34" s="2"/>
      <c r="J34" s="2"/>
      <c r="K34" s="5"/>
      <c r="M34" s="5"/>
      <c r="N34" s="5"/>
      <c r="O34" s="5"/>
      <c r="P34" s="5"/>
    </row>
  </sheetData>
  <mergeCells count="37">
    <mergeCell ref="T15:T16"/>
    <mergeCell ref="U15:U16"/>
    <mergeCell ref="V15:V16"/>
    <mergeCell ref="F23:F24"/>
    <mergeCell ref="H23:K23"/>
    <mergeCell ref="P15:R15"/>
    <mergeCell ref="L18:M18"/>
    <mergeCell ref="L19:M19"/>
    <mergeCell ref="L20:M20"/>
    <mergeCell ref="A12:D12"/>
    <mergeCell ref="F12:V12"/>
    <mergeCell ref="AG13:AY13"/>
    <mergeCell ref="BA13:BT13"/>
    <mergeCell ref="A14:D14"/>
    <mergeCell ref="F14:H14"/>
    <mergeCell ref="K14:K16"/>
    <mergeCell ref="L14:N14"/>
    <mergeCell ref="P14:R14"/>
    <mergeCell ref="S14:V14"/>
    <mergeCell ref="A15:A16"/>
    <mergeCell ref="B15:B16"/>
    <mergeCell ref="D15:D16"/>
    <mergeCell ref="F15:H15"/>
    <mergeCell ref="L15:N15"/>
    <mergeCell ref="S15:S16"/>
    <mergeCell ref="A6:D6"/>
    <mergeCell ref="F6:V6"/>
    <mergeCell ref="A8:D8"/>
    <mergeCell ref="F8:V8"/>
    <mergeCell ref="A10:D10"/>
    <mergeCell ref="F10:V10"/>
    <mergeCell ref="A1:D4"/>
    <mergeCell ref="F1:T4"/>
    <mergeCell ref="U1:V1"/>
    <mergeCell ref="U4:V4"/>
    <mergeCell ref="U2:W2"/>
    <mergeCell ref="U3:W3"/>
  </mergeCells>
  <conditionalFormatting sqref="J18:J19 N18:O19">
    <cfRule type="containsText" dxfId="111" priority="5" operator="containsText" text="E">
      <formula>NOT(ISERROR(SEARCH("E",J18)))</formula>
    </cfRule>
    <cfRule type="containsText" dxfId="110" priority="6" operator="containsText" text="M">
      <formula>NOT(ISERROR(SEARCH("M",J18)))</formula>
    </cfRule>
    <cfRule type="containsText" dxfId="109" priority="7" operator="containsText" text="A">
      <formula>NOT(ISERROR(SEARCH("A",J18)))</formula>
    </cfRule>
    <cfRule type="containsText" dxfId="108" priority="8" operator="containsText" text="B">
      <formula>NOT(ISERROR(SEARCH("B",J18)))</formula>
    </cfRule>
  </conditionalFormatting>
  <conditionalFormatting sqref="N20">
    <cfRule type="containsText" dxfId="107" priority="1" operator="containsText" text="E">
      <formula>NOT(ISERROR(SEARCH("E",N20)))</formula>
    </cfRule>
    <cfRule type="containsText" dxfId="106" priority="2" operator="containsText" text="M">
      <formula>NOT(ISERROR(SEARCH("M",N20)))</formula>
    </cfRule>
    <cfRule type="containsText" dxfId="105" priority="3" operator="containsText" text="A">
      <formula>NOT(ISERROR(SEARCH("A",N20)))</formula>
    </cfRule>
    <cfRule type="containsText" dxfId="104" priority="4" operator="containsText" text="B">
      <formula>NOT(ISERROR(SEARCH("B",N20)))</formula>
    </cfRule>
  </conditionalFormatting>
  <dataValidations count="2">
    <dataValidation type="list" allowBlank="1" showInputMessage="1" showErrorMessage="1" sqref="L20:M20 O20">
      <formula1>#REF!</formula1>
    </dataValidation>
    <dataValidation type="list" allowBlank="1" showInputMessage="1" showErrorMessage="1" sqref="P20:Q20">
      <formula1>$J$31:$J$34</formula1>
    </dataValidation>
  </dataValidations>
  <pageMargins left="0.7" right="0.7" top="0.75" bottom="0.75" header="0.3" footer="0.3"/>
  <pageSetup scale="1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4"/>
  <sheetViews>
    <sheetView showGridLines="0" view="pageBreakPreview" topLeftCell="Q1" zoomScale="70" zoomScaleNormal="70" zoomScaleSheetLayoutView="70" workbookViewId="0">
      <selection activeCell="U3" sqref="U3:W3"/>
    </sheetView>
  </sheetViews>
  <sheetFormatPr baseColWidth="10" defaultColWidth="11.453125" defaultRowHeight="14" x14ac:dyDescent="0.35"/>
  <cols>
    <col min="1" max="1" width="41.26953125" style="2" customWidth="1"/>
    <col min="2" max="2" width="40.453125" style="2" customWidth="1"/>
    <col min="3" max="3" width="40.453125" style="399" customWidth="1"/>
    <col min="4" max="4" width="40.453125" style="2" customWidth="1"/>
    <col min="5" max="5" width="40.453125" style="399" customWidth="1"/>
    <col min="6" max="6" width="27" style="5" customWidth="1"/>
    <col min="7" max="7" width="27" style="402" customWidth="1"/>
    <col min="8" max="8" width="19" style="5" customWidth="1"/>
    <col min="9" max="10" width="19" style="402" customWidth="1"/>
    <col min="11" max="11" width="26.1796875" style="402" customWidth="1"/>
    <col min="12" max="12" width="17.7265625" style="5" customWidth="1"/>
    <col min="13" max="13" width="18.54296875" style="2" customWidth="1"/>
    <col min="14" max="14" width="21.7265625" style="2" customWidth="1"/>
    <col min="15" max="15" width="21.7265625" style="399" customWidth="1"/>
    <col min="16" max="16" width="19.81640625" style="2" customWidth="1"/>
    <col min="17" max="17" width="41.81640625" style="2" customWidth="1"/>
    <col min="18" max="18" width="29.1796875" style="2" customWidth="1"/>
    <col min="19" max="19" width="36.453125" style="5" customWidth="1"/>
    <col min="20" max="20" width="52.453125" style="2" customWidth="1"/>
    <col min="21" max="21" width="30.453125" style="2" customWidth="1"/>
    <col min="22" max="22" width="47.453125" style="2" customWidth="1"/>
    <col min="23" max="23" width="30.453125" style="2" customWidth="1"/>
    <col min="24" max="24" width="36" style="2" hidden="1" customWidth="1"/>
    <col min="25" max="25" width="0" style="2" hidden="1" customWidth="1"/>
    <col min="26" max="72" width="11.453125" style="2" hidden="1" customWidth="1"/>
    <col min="73" max="73" width="11.453125" style="2" customWidth="1"/>
    <col min="74" max="16384" width="11.453125" style="2"/>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91" t="s">
        <v>372</v>
      </c>
      <c r="V2" s="1091"/>
      <c r="W2" s="109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91" t="s">
        <v>373</v>
      </c>
      <c r="V3" s="1091"/>
      <c r="W3" s="109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3"/>
      <c r="C5" s="400"/>
      <c r="D5" s="3"/>
      <c r="E5" s="400"/>
      <c r="F5" s="4"/>
      <c r="G5" s="401"/>
      <c r="H5" s="4"/>
      <c r="I5" s="401"/>
      <c r="J5" s="401"/>
      <c r="K5" s="401"/>
      <c r="L5" s="4"/>
      <c r="M5" s="4"/>
      <c r="N5" s="4"/>
      <c r="O5" s="401"/>
      <c r="P5" s="4"/>
      <c r="Q5" s="4"/>
      <c r="W5" s="6"/>
      <c r="X5" s="6"/>
    </row>
    <row r="6" spans="1:72" x14ac:dyDescent="0.35">
      <c r="A6" s="1030" t="s">
        <v>3</v>
      </c>
      <c r="B6" s="1030"/>
      <c r="C6" s="1030"/>
      <c r="D6" s="1030"/>
      <c r="E6" s="82"/>
      <c r="F6" s="1044" t="str">
        <f>[17]IdentRiesgo!B2</f>
        <v>GESTION FINANCIERA - TESORERÍA</v>
      </c>
      <c r="G6" s="1045"/>
      <c r="H6" s="1045"/>
      <c r="I6" s="1045"/>
      <c r="J6" s="1045"/>
      <c r="K6" s="1045"/>
      <c r="L6" s="1045"/>
      <c r="M6" s="1045"/>
      <c r="N6" s="1045"/>
      <c r="O6" s="1045"/>
      <c r="P6" s="1045"/>
      <c r="Q6" s="1045"/>
      <c r="R6" s="1045"/>
      <c r="S6" s="1045"/>
      <c r="T6" s="1045"/>
      <c r="U6" s="1045"/>
      <c r="V6" s="1046"/>
      <c r="W6" s="6"/>
      <c r="X6" s="6"/>
    </row>
    <row r="7" spans="1:72" ht="6.75" customHeight="1" x14ac:dyDescent="0.35">
      <c r="B7" s="3"/>
      <c r="C7" s="400"/>
      <c r="D7" s="3"/>
      <c r="E7" s="400"/>
      <c r="F7" s="7"/>
      <c r="G7" s="405"/>
      <c r="H7" s="7"/>
      <c r="I7" s="405"/>
      <c r="J7" s="405"/>
      <c r="K7" s="405"/>
      <c r="L7" s="7"/>
      <c r="M7" s="7"/>
      <c r="N7" s="7"/>
      <c r="O7" s="405"/>
      <c r="P7" s="7"/>
      <c r="Q7" s="7"/>
      <c r="R7" s="8"/>
      <c r="S7" s="8"/>
      <c r="T7" s="8"/>
      <c r="U7" s="8"/>
      <c r="V7" s="8"/>
      <c r="W7" s="6"/>
      <c r="X7" s="6"/>
    </row>
    <row r="8" spans="1:72" ht="39.75" customHeight="1" x14ac:dyDescent="0.35">
      <c r="A8" s="1030" t="s">
        <v>4</v>
      </c>
      <c r="B8" s="1030"/>
      <c r="C8" s="1030"/>
      <c r="D8" s="1030"/>
      <c r="E8" s="82"/>
      <c r="F8" s="1047" t="str">
        <f>[17]IdentRiesgo!B3</f>
        <v>Asegurar la oportuna provisión de recursos financieros necesarios para el autosostenimiento y desempeño eficaz y eficiente de la gestión financiera de la entidad mediante el registro de la ejecución presupuestal, la presentación de estados financieros y el recaudo de los ingresos y el pago de los compromisos.</v>
      </c>
      <c r="G8" s="1048"/>
      <c r="H8" s="1048"/>
      <c r="I8" s="1048"/>
      <c r="J8" s="1048"/>
      <c r="K8" s="1048"/>
      <c r="L8" s="1048"/>
      <c r="M8" s="1048"/>
      <c r="N8" s="1048"/>
      <c r="O8" s="1048"/>
      <c r="P8" s="1048"/>
      <c r="Q8" s="1048"/>
      <c r="R8" s="1048"/>
      <c r="S8" s="1048"/>
      <c r="T8" s="1048"/>
      <c r="U8" s="1048"/>
      <c r="V8" s="1049"/>
      <c r="W8" s="9"/>
      <c r="X8" s="9"/>
    </row>
    <row r="9" spans="1:72" ht="6.75" customHeight="1" x14ac:dyDescent="0.35">
      <c r="B9" s="10"/>
      <c r="C9" s="403"/>
      <c r="D9" s="10"/>
      <c r="E9" s="403"/>
      <c r="F9" s="11"/>
      <c r="G9" s="406"/>
      <c r="H9" s="11"/>
      <c r="I9" s="406"/>
      <c r="J9" s="406"/>
      <c r="K9" s="406"/>
      <c r="L9" s="11"/>
      <c r="M9" s="11"/>
      <c r="N9" s="11"/>
      <c r="O9" s="406"/>
      <c r="P9" s="11"/>
      <c r="Q9" s="11"/>
      <c r="R9" s="8"/>
      <c r="S9" s="8"/>
      <c r="T9" s="8"/>
      <c r="U9" s="8"/>
      <c r="V9" s="8"/>
      <c r="W9" s="6"/>
      <c r="X9" s="6"/>
    </row>
    <row r="10" spans="1:72" x14ac:dyDescent="0.35">
      <c r="A10" s="1030" t="s">
        <v>5</v>
      </c>
      <c r="B10" s="1030"/>
      <c r="C10" s="1030"/>
      <c r="D10" s="1030"/>
      <c r="E10" s="82"/>
      <c r="F10" s="1031" t="s">
        <v>394</v>
      </c>
      <c r="G10" s="1032"/>
      <c r="H10" s="1032"/>
      <c r="I10" s="1032"/>
      <c r="J10" s="1032"/>
      <c r="K10" s="1032"/>
      <c r="L10" s="1032"/>
      <c r="M10" s="1032"/>
      <c r="N10" s="1032"/>
      <c r="O10" s="1032"/>
      <c r="P10" s="1032"/>
      <c r="Q10" s="1032"/>
      <c r="R10" s="1032"/>
      <c r="S10" s="1032"/>
      <c r="T10" s="1032"/>
      <c r="U10" s="1032"/>
      <c r="V10" s="1033"/>
      <c r="W10" s="12"/>
      <c r="X10" s="12"/>
    </row>
    <row r="11" spans="1:72" ht="5.25" customHeight="1" x14ac:dyDescent="0.35">
      <c r="B11" s="3"/>
      <c r="C11" s="400"/>
      <c r="D11" s="3"/>
      <c r="E11" s="400"/>
      <c r="F11" s="13"/>
      <c r="G11" s="425"/>
      <c r="H11" s="13"/>
      <c r="I11" s="425"/>
      <c r="J11" s="425"/>
      <c r="K11" s="425"/>
      <c r="L11" s="13"/>
      <c r="M11" s="13"/>
      <c r="N11" s="13"/>
      <c r="O11" s="425"/>
      <c r="P11" s="13"/>
      <c r="Q11" s="13"/>
      <c r="R11" s="8"/>
      <c r="S11" s="8"/>
      <c r="T11" s="8"/>
      <c r="U11" s="8"/>
      <c r="V11" s="8"/>
      <c r="W11" s="6"/>
      <c r="X11" s="6"/>
    </row>
    <row r="12" spans="1:72" x14ac:dyDescent="0.35">
      <c r="A12" s="1030" t="s">
        <v>6</v>
      </c>
      <c r="B12" s="1030"/>
      <c r="C12" s="1030"/>
      <c r="D12" s="1030"/>
      <c r="E12" s="82"/>
      <c r="F12" s="1031" t="s">
        <v>395</v>
      </c>
      <c r="G12" s="1032"/>
      <c r="H12" s="1032"/>
      <c r="I12" s="1032"/>
      <c r="J12" s="1032"/>
      <c r="K12" s="1032"/>
      <c r="L12" s="1032"/>
      <c r="M12" s="1032"/>
      <c r="N12" s="1032"/>
      <c r="O12" s="1032"/>
      <c r="P12" s="1032"/>
      <c r="Q12" s="1032"/>
      <c r="R12" s="1032"/>
      <c r="S12" s="1032"/>
      <c r="T12" s="1032"/>
      <c r="U12" s="1032"/>
      <c r="V12" s="1033"/>
      <c r="W12" s="12"/>
      <c r="X12" s="12"/>
      <c r="AA12" s="2" t="s">
        <v>7</v>
      </c>
    </row>
    <row r="13" spans="1:72" x14ac:dyDescent="0.35">
      <c r="B13" s="3"/>
      <c r="C13" s="400"/>
      <c r="D13" s="3"/>
      <c r="E13" s="400"/>
      <c r="F13" s="14"/>
      <c r="G13" s="407"/>
      <c r="H13" s="15"/>
      <c r="I13" s="404"/>
      <c r="J13" s="404"/>
      <c r="K13" s="404"/>
      <c r="L13" s="15"/>
      <c r="M13" s="7"/>
      <c r="N13" s="7"/>
      <c r="O13" s="405"/>
      <c r="P13" s="7"/>
      <c r="Q13" s="7"/>
      <c r="R13" s="7"/>
      <c r="S13" s="15"/>
      <c r="T13" s="7"/>
      <c r="W13" s="6"/>
      <c r="X13" s="6"/>
      <c r="AA13" s="2"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420"/>
      <c r="J14" s="420"/>
      <c r="K14" s="420"/>
      <c r="L14" s="1035" t="s">
        <v>14</v>
      </c>
      <c r="M14" s="1036"/>
      <c r="N14" s="1037"/>
      <c r="O14" s="446"/>
      <c r="P14" s="1042" t="s">
        <v>15</v>
      </c>
      <c r="Q14" s="1042"/>
      <c r="R14" s="1042"/>
      <c r="S14" s="1042" t="s">
        <v>16</v>
      </c>
      <c r="T14" s="1042"/>
      <c r="U14" s="1042"/>
      <c r="V14" s="1042"/>
    </row>
    <row r="15" spans="1:72" s="17" customFormat="1" ht="14.25" customHeight="1" x14ac:dyDescent="0.35">
      <c r="A15" s="1040" t="s">
        <v>17</v>
      </c>
      <c r="B15" s="1040" t="s">
        <v>18</v>
      </c>
      <c r="C15" s="447"/>
      <c r="D15" s="1040" t="s">
        <v>19</v>
      </c>
      <c r="E15" s="447"/>
      <c r="F15" s="1018" t="s">
        <v>20</v>
      </c>
      <c r="G15" s="1018"/>
      <c r="H15" s="1018"/>
      <c r="I15" s="443"/>
      <c r="J15" s="608"/>
      <c r="K15" s="608"/>
      <c r="L15" s="1023" t="s">
        <v>21</v>
      </c>
      <c r="M15" s="1024"/>
      <c r="N15" s="1025"/>
      <c r="O15" s="445"/>
      <c r="P15" s="1023" t="s">
        <v>22</v>
      </c>
      <c r="Q15" s="1024"/>
      <c r="R15" s="1025"/>
      <c r="S15" s="1018" t="s">
        <v>23</v>
      </c>
      <c r="T15" s="1018" t="s">
        <v>24</v>
      </c>
      <c r="U15" s="1018" t="s">
        <v>5</v>
      </c>
      <c r="V15" s="1018" t="s">
        <v>25</v>
      </c>
    </row>
    <row r="16" spans="1:72" s="17" customFormat="1" ht="63" customHeight="1" thickBot="1" x14ac:dyDescent="0.4">
      <c r="A16" s="1043"/>
      <c r="B16" s="1043"/>
      <c r="C16" s="448" t="s">
        <v>96</v>
      </c>
      <c r="D16" s="1043"/>
      <c r="E16" s="448" t="s">
        <v>97</v>
      </c>
      <c r="F16" s="18" t="s">
        <v>26</v>
      </c>
      <c r="G16" s="443" t="s">
        <v>96</v>
      </c>
      <c r="H16" s="18" t="s">
        <v>10</v>
      </c>
      <c r="I16" s="443" t="s">
        <v>96</v>
      </c>
      <c r="J16" s="608" t="s">
        <v>27</v>
      </c>
      <c r="K16" s="608" t="s">
        <v>99</v>
      </c>
      <c r="L16" s="18" t="s">
        <v>26</v>
      </c>
      <c r="M16" s="18" t="s">
        <v>10</v>
      </c>
      <c r="N16" s="20" t="s">
        <v>27</v>
      </c>
      <c r="O16" s="448" t="s">
        <v>100</v>
      </c>
      <c r="P16" s="18" t="s">
        <v>28</v>
      </c>
      <c r="Q16" s="18" t="s">
        <v>24</v>
      </c>
      <c r="R16" s="18" t="s">
        <v>29</v>
      </c>
      <c r="S16" s="1018"/>
      <c r="T16" s="1018"/>
      <c r="U16" s="1018"/>
      <c r="V16" s="1018"/>
    </row>
    <row r="17" spans="1:70" ht="354.75" customHeight="1" x14ac:dyDescent="0.35">
      <c r="A17" s="621" t="s">
        <v>346</v>
      </c>
      <c r="B17" s="622" t="s">
        <v>347</v>
      </c>
      <c r="C17" s="623" t="s">
        <v>348</v>
      </c>
      <c r="D17" s="624" t="s">
        <v>349</v>
      </c>
      <c r="E17" s="625" t="s">
        <v>119</v>
      </c>
      <c r="F17" s="626">
        <v>2</v>
      </c>
      <c r="G17" s="627" t="s">
        <v>152</v>
      </c>
      <c r="H17" s="647">
        <v>20</v>
      </c>
      <c r="I17" s="628" t="s">
        <v>122</v>
      </c>
      <c r="J17" s="629" t="s">
        <v>51</v>
      </c>
      <c r="K17" s="630" t="s">
        <v>350</v>
      </c>
      <c r="L17" s="620" t="s">
        <v>10</v>
      </c>
      <c r="M17" s="1092" t="s">
        <v>48</v>
      </c>
      <c r="N17" s="1093"/>
      <c r="O17" s="651" t="s">
        <v>128</v>
      </c>
      <c r="P17" s="631" t="s">
        <v>343</v>
      </c>
      <c r="Q17" s="632" t="s">
        <v>351</v>
      </c>
      <c r="R17" s="633" t="s">
        <v>352</v>
      </c>
      <c r="S17" s="634" t="s">
        <v>396</v>
      </c>
      <c r="T17" s="635" t="s">
        <v>397</v>
      </c>
      <c r="U17" s="636" t="s">
        <v>345</v>
      </c>
      <c r="V17" s="637" t="s">
        <v>353</v>
      </c>
      <c r="X17" s="28" t="str">
        <f>IF(AND(F17=1,H17=5),$H$25,IF(AND(F17=1,H17=10),#REF!,IF(AND(F17=1,H17=20),#REF!," ")))</f>
        <v xml:space="preserve"> </v>
      </c>
      <c r="Y17" s="28" t="e">
        <f>IF(AND(F17=2,H17=5),$H$26,IF(AND(F17=2,H17=10),#REF!,IF(AND(F17=2,H17=20),#REF!," ")))</f>
        <v>#REF!</v>
      </c>
      <c r="Z17" s="28" t="str">
        <f>IF(AND(F17=3,H17=5),$H$27,IF(AND(F17=3,H17=10),#REF!,IF(AND(F17=3,H17=20),#REF!," ")))</f>
        <v xml:space="preserve"> </v>
      </c>
      <c r="AA17" s="28" t="str">
        <f>IF(AND(F17=4,H17=5),$H$28,IF(AND(F17=4,H17=10),#REF!,IF(AND(F17=4,H17=20),#REF!," ")))</f>
        <v xml:space="preserve"> </v>
      </c>
      <c r="AB17" s="28" t="str">
        <f>IF(AND(F17=5,H17=5),$H$29,IF(AND(F17=5,H17=10),#REF!,IF(AND(F17=5,H17=20),#REF!," ")))</f>
        <v xml:space="preserve"> </v>
      </c>
      <c r="AD17" s="29" t="s">
        <v>31</v>
      </c>
      <c r="AE17" s="28" t="str">
        <f>IF(AND(L17&gt;0,'[17]EvaluaciónRiesgoCorrup (1)'!$F$11&gt;75,F17=1,H17=5),$H$25,IF(AND(L17&gt;0,'[17]EvaluaciónRiesgoCorrup (1)'!$F$11&gt;75,F17=1,H17=10),#REF!,IF(AND(L17&gt;0,'[17]EvaluaciónRiesgoCorrup (1)'!$F$11&gt;75,F17=1,H17=20),#REF!," ")))</f>
        <v xml:space="preserve"> </v>
      </c>
      <c r="AF17" s="28" t="e">
        <f>IF(AND(L17&gt;0,'[17]EvaluaciónRiesgoCorrup (1)'!$F$11&gt;75,F17=2,H17=5),$H$25,IF(AND(L17&gt;0,'[17]EvaluaciónRiesgoCorrup (1)'!$F$11&gt;75,F17=2,H17=10),#REF!,IF(AND(L17&gt;0,'[17]EvaluaciónRiesgoCorrup (1)'!$F$11&gt;75,F17=2,H17=20),#REF!," ")))</f>
        <v>#REF!</v>
      </c>
      <c r="AG17" s="28" t="str">
        <f>IF(AND(L17&gt;0,'[17]EvaluaciónRiesgoCorrup (1)'!$F$11&gt;75,F17=3,H17=5),$H$25,IF(AND(L17&gt;0,'[17]EvaluaciónRiesgoCorrup (1)'!$F$11&gt;75,F17=3,H17=10),#REF!,IF(AND(L17&gt;0,'[17]EvaluaciónRiesgoCorrup (1)'!$F$11&gt;75,F17=3,H17=20),#REF!," ")))</f>
        <v xml:space="preserve"> </v>
      </c>
      <c r="AH17" s="28" t="str">
        <f>IF(AND(L17&gt;0,'[17]EvaluaciónRiesgoCorrup (1)'!$F$11&gt;75,F17=4,H17=5),$H$26,IF(AND(L17&gt;0,'[17]EvaluaciónRiesgoCorrup (1)'!$F$11&gt;75,F17=4,H17=10),#REF!,IF(AND(L17&gt;0,'[17]EvaluaciónRiesgoCorrup (1)'!$F$11&gt;75,F17=4,H17=20),#REF!," ")))</f>
        <v xml:space="preserve"> </v>
      </c>
      <c r="AI17" s="28" t="str">
        <f>IF(AND(L17&gt;0,'[17]EvaluaciónRiesgoCorrup (1)'!$F$11&gt;75,F17=5,H17=5),$H$27,IF(AND(L17&gt;0,'[17]EvaluaciónRiesgoCorrup (1)'!$F$11&gt;75,F17=5,H17=10),#REF!,IF(AND(L17&gt;0,'[17]EvaluaciónRiesgoCorrup (1)'!$F$11&gt;75,F17=5,H17=20),#REF!," ")))</f>
        <v xml:space="preserve"> </v>
      </c>
      <c r="AJ17" s="29" t="s">
        <v>32</v>
      </c>
      <c r="AK17" s="28" t="str">
        <f>IF(AND(L17&gt;0,'[17]EvaluaciónRiesgoCorrup (1)'!$F$11&gt;50,'[17]EvaluaciónRiesgoCorrup (1)'!$F$11&lt;76,F17=1,H17=5),$H$25,IF(AND(L17&gt;0,'[17]EvaluaciónRiesgoCorrup (1)'!$F$11&gt;50,'[17]EvaluaciónRiesgoCorrup (1)'!$F$11&lt;76,F17=1,H17=10),#REF!,IF(AND(L17&gt;0,'[17]EvaluaciónRiesgoCorrup (1)'!$F$11&gt;50,'[17]EvaluaciónRiesgoCorrup (1)'!$F$11&lt;76,F17=1,H17=20),#REF!," ")))</f>
        <v xml:space="preserve"> </v>
      </c>
      <c r="AL17" s="28" t="str">
        <f>IF(AND(L17&gt;0,'[17]EvaluaciónRiesgoCorrup (1)'!$F$11&gt;50,'[17]EvaluaciónRiesgoCorrup (1)'!$F$11&lt;76,F17=2,H17=5),$H$25,IF(AND(L17&gt;0,'[17]EvaluaciónRiesgoCorrup (1)'!$F$11&gt;50,'[17]EvaluaciónRiesgoCorrup (1)'!$F$11&lt;76,F17=2,H17=10),#REF!,IF(AND(L17&gt;0,'[17]EvaluaciónRiesgoCorrup (1)'!$F$11&gt;50,'[17]EvaluaciónRiesgoCorrup (1)'!$F$11&lt;76,F17=2,H17=20),#REF!," ")))</f>
        <v xml:space="preserve"> </v>
      </c>
      <c r="AM17" s="28" t="str">
        <f>IF(AND(L17&gt;0,'[17]EvaluaciónRiesgoCorrup (1)'!$F$11&gt;50,'[17]EvaluaciónRiesgoCorrup (1)'!$F$11&lt;76,F17=3,H17=5),$H$26,IF(AND(L17&gt;0,'[17]EvaluaciónRiesgoCorrup (1)'!$F$11&gt;50,'[17]EvaluaciónRiesgoCorrup (1)'!$F$11&lt;76,F17=3,H17=10),#REF!,IF(AND(L17&gt;0,'[17]EvaluaciónRiesgoCorrup (1)'!$F$11&gt;50,'[17]EvaluaciónRiesgoCorrup (1)'!$F$11&lt;76,F17=3,H17=20),#REF!," ")))</f>
        <v xml:space="preserve"> </v>
      </c>
      <c r="AN17" s="28" t="str">
        <f>IF(AND(L17&gt;0,'[17]EvaluaciónRiesgoCorrup (1)'!$F$11&gt;50,'[17]EvaluaciónRiesgoCorrup (1)'!$F$11&lt;76,F17=4,H17=5),$H$27,IF(AND(L17&gt;0,'[17]EvaluaciónRiesgoCorrup (1)'!$F$11&gt;50,'[17]EvaluaciónRiesgoCorrup (1)'!$F$11&lt;76,F17=4,H17=10),#REF!,IF(AND(L17&gt;0,'[17]EvaluaciónRiesgoCorrup (1)'!$F$11&gt;50,'[17]EvaluaciónRiesgoCorrup (1)'!$F$11&lt;76,F17=4,H17=20),#REF!," ")))</f>
        <v xml:space="preserve"> </v>
      </c>
      <c r="AO17" s="28" t="str">
        <f>IF(AND(L17&gt;0,'[17]EvaluaciónRiesgoCorrup (1)'!$F$11&gt;50,'[17]EvaluaciónRiesgoCorrup (1)'!$F$11&lt;76,F17=5,H17=5),$H$28,IF(AND(L17&gt;0,'[17]EvaluaciónRiesgoCorrup (1)'!$F$11&gt;50,'[17]EvaluaciónRiesgoCorrup (1)'!$F$11&lt;76,F17=5,H17=10),#REF!,IF(AND(L17&gt;0,'[17]EvaluaciónRiesgoCorrup (1)'!$F$11&gt;50,'[17]EvaluaciónRiesgoCorrup (1)'!$F$11&lt;76,F17=5,H17=20),#REF!," ")))</f>
        <v xml:space="preserve"> </v>
      </c>
      <c r="AQ17" s="29" t="s">
        <v>33</v>
      </c>
      <c r="AR17" s="28" t="str">
        <f>IF(AND(L17&gt;0,'[17]EvaluaciónRiesgoCorrup (1)'!$F$11&lt;51,F17=1,H17=5),$H$25,IF(AND(L17&gt;0,'[17]EvaluaciónRiesgoCorrup (1)'!$F$11&lt;51,F17=1,H17=10),#REF!,IF(AND(L17&gt;0,'[17]EvaluaciónRiesgoCorrup (1)'!$F$11&lt;51,F17=1,H17=20),#REF!," ")))</f>
        <v xml:space="preserve"> </v>
      </c>
      <c r="AS17" s="28" t="str">
        <f>IF(AND(L17&gt;0,'[17]EvaluaciónRiesgoCorrup (1)'!$F$11&lt;51,F17=2,H17=5),$H$26,IF(AND(L17&gt;0,'[17]EvaluaciónRiesgoCorrup (1)'!$F$11&lt;51,F17=2,H17=10),#REF!,IF(AND(L17&gt;0,'[17]EvaluaciónRiesgoCorrup (1)'!$F$11&lt;51,F17=2,H17=20),#REF!," ")))</f>
        <v xml:space="preserve"> </v>
      </c>
      <c r="AT17" s="28" t="str">
        <f>IF(AND(L17&gt;0,'[17]EvaluaciónRiesgoCorrup (1)'!$F$11&lt;51,F17=3,H17=5),$H$27,IF(AND(L17&gt;0,'[17]EvaluaciónRiesgoCorrup (1)'!$F$11&lt;51,F17=3,H17=10),#REF!,IF(AND(L17&gt;0,'[17]EvaluaciónRiesgoCorrup (1)'!$F$11&lt;51,F17=3,H17=20),#REF!," ")))</f>
        <v xml:space="preserve"> </v>
      </c>
      <c r="AU17" s="28" t="str">
        <f>IF(AND(L17&gt;0,'[17]EvaluaciónRiesgoCorrup (1)'!$F$11&lt;51,F17=4,H17=5),$H$28,IF(AND(L17&gt;0,'[17]EvaluaciónRiesgoCorrup (1)'!$F$11&lt;51,F17=4,H17=10),#REF!,IF(AND(L17&gt;0,'[17]EvaluaciónRiesgoCorrup (1)'!$F$11&lt;51,F17=4,H17=20),#REF!," ")))</f>
        <v xml:space="preserve"> </v>
      </c>
      <c r="AV17" s="28" t="str">
        <f>IF(AND(L17&gt;0,'[17]EvaluaciónRiesgoCorrup (1)'!$F$11&lt;51,F17=5,H17=5),$H$29,IF(AND(L17&gt;0,'[17]EvaluaciónRiesgoCorrup (1)'!$F$11&lt;51,F17=5,H17=10),#REF!,IF(AND(L17&gt;0,'[17]EvaluaciónRiesgoCorrup (1)'!$F$11&lt;51,F17=5,H17=20),#REF!," ")))</f>
        <v xml:space="preserve"> </v>
      </c>
      <c r="AY17" s="29" t="s">
        <v>31</v>
      </c>
      <c r="AZ17" s="28" t="str">
        <f>IF(AND(M17&gt;0,'[17]EvaluaciónRiesgoCorrup (1)'!$F$11&gt;75,F17=1,H17=5),$H$25,IF(AND(M17&gt;0,'[17]EvaluaciónRiesgoCorrup (1)'!$F$11&gt;75,F17=1,H17=10),$H$25,IF(AND(M17&gt;0,'[17]EvaluaciónRiesgoCorrup (1)'!$F$11&gt;75,F17=1,H17=20),$H$25," ")))</f>
        <v xml:space="preserve"> </v>
      </c>
      <c r="BA17" s="28" t="str">
        <f>IF(AND(M17&gt;0,'[17]EvaluaciónRiesgoCorrup (1)'!$F$11&gt;75,F17=2,H17=5),$H$26,IF(AND(M17&gt;0,'[17]EvaluaciónRiesgoCorrup (1)'!$F$11&gt;75,F17=2,H17=10),$H$26,IF(AND(M17&gt;0,'[17]EvaluaciónRiesgoCorrup (1)'!$F$11&gt;75,F17=2,H17=20),$H$26," ")))</f>
        <v>B</v>
      </c>
      <c r="BB17" s="28" t="str">
        <f>IF(AND(M17&gt;0,'[17]EvaluaciónRiesgoCorrup (1)'!$F$11&gt;75,F17=3,H17=5),$H$27,IF(AND(M17&gt;0,'[17]EvaluaciónRiesgoCorrup (1)'!$F$11&gt;75,F17=3,H17=10),$H$27,IF(AND(M17&gt;0,'[17]EvaluaciónRiesgoCorrup (1)'!$F$11&gt;75,F17=3,H17=20),$H$27," ")))</f>
        <v xml:space="preserve"> </v>
      </c>
      <c r="BC17" s="28" t="str">
        <f>IF(AND(M17&gt;0,'[17]EvaluaciónRiesgoCorrup (1)'!$F$11&gt;75,F17=4,H17=5),$H$28,IF(AND(M17&gt;0,'[17]EvaluaciónRiesgoCorrup (1)'!$F$11&gt;75,F17=4,H17=10),$H$28,IF(AND(M17&gt;0,'[17]EvaluaciónRiesgoCorrup (1)'!$F$11&gt;75,F17=4,H17=20),$H$28," ")))</f>
        <v xml:space="preserve"> </v>
      </c>
      <c r="BD17" s="28" t="str">
        <f>IF(AND(M17&gt;0,'[17]EvaluaciónRiesgoCorrup (1)'!$F$11&gt;75,F17=5,H17=5),$H$29,IF(AND(M17&gt;0,'[17]EvaluaciónRiesgoCorrup (1)'!$F$11&gt;75,F17=5,H17=10),$H$29,IF(AND(M17&gt;0,'[17]EvaluaciónRiesgoCorrup (1)'!$F$11&gt;75,F17=5,H17=20),$H$29," ")))</f>
        <v xml:space="preserve"> </v>
      </c>
      <c r="BF17" s="29" t="s">
        <v>32</v>
      </c>
      <c r="BG17" s="28" t="str">
        <f>IF(AND(M17&gt;0,'[17]EvaluaciónRiesgoCorrup (1)'!$F$11&gt;50,'[17]EvaluaciónRiesgoCorrup (1)'!$F$11&lt;76,F17=1,H17=5),$H$25,IF(AND(M17&gt;0,'[17]EvaluaciónRiesgoCorrup (1)'!$F$11&gt;50,'[17]EvaluaciónRiesgoCorrup (1)'!$F$11&lt;76,F17=1,H17=10),$H$25,IF(AND(M17&gt;0,'[17]EvaluaciónRiesgoCorrup (1)'!$F$11&gt;50,'[17]EvaluaciónRiesgoCorrup (1)'!$F$11&lt;76,F17=1,H17=20),#REF!," ")))</f>
        <v xml:space="preserve"> </v>
      </c>
      <c r="BH17" s="28" t="str">
        <f>IF(AND(M17&gt;0,'[17]EvaluaciónRiesgoCorrup (1)'!$F$11&gt;50,'[17]EvaluaciónRiesgoCorrup (1)'!$F$11&lt;76,F17=2,H17=5),$H$26,IF(AND(M17&gt;0,'[17]EvaluaciónRiesgoCorrup (1)'!$F$11&gt;50,'[17]EvaluaciónRiesgoCorrup (1)'!$F$11&lt;76,F17=2,H17=10),$H$26,IF(AND(M17&gt;0,'[17]EvaluaciónRiesgoCorrup (1)'!$F$11&gt;50,'[17]EvaluaciónRiesgoCorrup (1)'!$F$11&lt;76,F17=2,H17=20),#REF!," ")))</f>
        <v xml:space="preserve"> </v>
      </c>
      <c r="BI17" s="28" t="str">
        <f>IF(AND(M17&gt;0,'[17]EvaluaciónRiesgoCorrup (1)'!$F$11&gt;50,'[17]EvaluaciónRiesgoCorrup (1)'!$F$11&lt;76,F17=3,H17=5),$H$27,IF(AND(M17&gt;0,'[17]EvaluaciónRiesgoCorrup (1)'!$F$11&gt;50,'[17]EvaluaciónRiesgoCorrup (1)'!$F$11&lt;76,F17=3,H17=10),$H$27,IF(AND(M17&gt;0,'[17]EvaluaciónRiesgoCorrup (1)'!$F$11&gt;50,'[17]EvaluaciónRiesgoCorrup (1)'!$F$11&lt;76,F17=3,H17=20),#REF!," ")))</f>
        <v xml:space="preserve"> </v>
      </c>
      <c r="BJ17" s="28" t="str">
        <f>IF(AND(M17&gt;0,'[17]EvaluaciónRiesgoCorrup (1)'!$F$11&gt;50,'[17]EvaluaciónRiesgoCorrup (1)'!$F$11&lt;76,F17=4,H17=5),$H$28,IF(AND(M17&gt;0,'[17]EvaluaciónRiesgoCorrup (1)'!$F$11&gt;50,'[17]EvaluaciónRiesgoCorrup (1)'!$F$11&lt;76,F17=4,H17=10),$H$28,IF(AND(M17&gt;0,'[17]EvaluaciónRiesgoCorrup (1)'!$F$11&gt;50,'[17]EvaluaciónRiesgoCorrup (1)'!$F$11&lt;76,F17=4,H17=20),#REF!," ")))</f>
        <v xml:space="preserve"> </v>
      </c>
      <c r="BK17" s="28" t="str">
        <f>IF(AND(M17&gt;0,'[17]EvaluaciónRiesgoCorrup (1)'!$F$11&gt;50,'[17]EvaluaciónRiesgoCorrup (1)'!$F$11&lt;76,F17=5,H17=5),$H$29,IF(AND(M17&gt;0,'[17]EvaluaciónRiesgoCorrup (1)'!$F$11&gt;50,'[17]EvaluaciónRiesgoCorrup (1)'!$F$11&lt;76,F17=5,H17=10),$H$29,IF(AND(M17&gt;0,'[17]EvaluaciónRiesgoCorrup (1)'!$F$11&gt;50,'[17]EvaluaciónRiesgoCorrup (1)'!$F$11&lt;76,F17=5,H17=20),#REF!," ")))</f>
        <v xml:space="preserve"> </v>
      </c>
      <c r="BM17" s="29" t="s">
        <v>33</v>
      </c>
      <c r="BN17" s="28" t="str">
        <f>IF(AND(M17&gt;0,'[17]EvaluaciónRiesgoCorrup (1)'!$F$11&lt;51,F17=1,H17=5),$H$25,IF(AND(M17&gt;0,'[17]EvaluaciónRiesgoCorrup (1)'!$F$11&lt;51,F17=1,H17=10),#REF!,IF(AND(M17&gt;0,'[17]EvaluaciónRiesgoCorrup (1)'!$F$11&lt;51,F17=1,H17=20),#REF!," ")))</f>
        <v xml:space="preserve"> </v>
      </c>
      <c r="BO17" s="28" t="str">
        <f>IF(AND(M17&gt;0,'[17]EvaluaciónRiesgoCorrup (1)'!$F$11&lt;51,F17=2,H17=5),$H$26,IF(AND(M17&gt;0,'[17]EvaluaciónRiesgoCorrup (1)'!$F$11&lt;51,F17=2,H17=10),#REF!,IF(AND(M17&gt;0,'[17]EvaluaciónRiesgoCorrup (1)'!$F$11&lt;51,F17=2,H17=20),#REF!," ")))</f>
        <v xml:space="preserve"> </v>
      </c>
      <c r="BP17" s="28" t="str">
        <f>IF(AND(M17&gt;0,'[17]EvaluaciónRiesgoCorrup (1)'!$F$11&lt;51,F17=3,H17=5),$H$27,IF(AND(M17&gt;0,'[17]EvaluaciónRiesgoCorrup (1)'!$F$11&lt;51,F17=3,H17=10),#REF!,IF(AND(M17&gt;0,'[17]EvaluaciónRiesgoCorrup (1)'!$F$11&lt;51,F17=3,H17=20),#REF!," ")))</f>
        <v xml:space="preserve"> </v>
      </c>
      <c r="BQ17" s="28" t="str">
        <f>IF(AND(M17&gt;0,'[17]EvaluaciónRiesgoCorrup (1)'!$F$11&lt;51,F17=4,H17=5),$H$28,IF(AND(M17&gt;0,'[17]EvaluaciónRiesgoCorrup (1)'!$F$11&lt;51,F17=4,H17=10),#REF!,IF(AND(M17&gt;0,'[17]EvaluaciónRiesgoCorrup (1)'!$F$11&lt;51,F17=4,H17=20),#REF!," ")))</f>
        <v xml:space="preserve"> </v>
      </c>
      <c r="BR17" s="28" t="str">
        <f>IF(AND(M17&gt;0,'[17]EvaluaciónRiesgoCorrup (1)'!$F$11&lt;51,F17=5,H17=5),$H$29,IF(AND(M17&gt;0,'[17]EvaluaciónRiesgoCorrup (1)'!$F$11&lt;51,F17=5,H17=10),#REF!,IF(AND(M17&gt;0,'[17]EvaluaciónRiesgoCorrup (1)'!$F$11&lt;51,F17=5,H17=20),#REF!," ")))</f>
        <v xml:space="preserve"> </v>
      </c>
    </row>
    <row r="18" spans="1:70" ht="153.75" customHeight="1" x14ac:dyDescent="0.35">
      <c r="A18" s="638" t="s">
        <v>338</v>
      </c>
      <c r="B18" s="639" t="s">
        <v>339</v>
      </c>
      <c r="C18" s="640" t="s">
        <v>340</v>
      </c>
      <c r="D18" s="641" t="s">
        <v>341</v>
      </c>
      <c r="E18" s="642" t="s">
        <v>119</v>
      </c>
      <c r="F18" s="643">
        <v>1</v>
      </c>
      <c r="G18" s="644" t="s">
        <v>121</v>
      </c>
      <c r="H18" s="645">
        <v>20</v>
      </c>
      <c r="I18" s="646" t="s">
        <v>122</v>
      </c>
      <c r="J18" s="648" t="s">
        <v>49</v>
      </c>
      <c r="K18" s="649" t="s">
        <v>342</v>
      </c>
      <c r="L18" s="1080" t="s">
        <v>10</v>
      </c>
      <c r="M18" s="1081"/>
      <c r="N18" s="650" t="s">
        <v>48</v>
      </c>
      <c r="O18" s="651" t="s">
        <v>128</v>
      </c>
      <c r="P18" s="652" t="s">
        <v>343</v>
      </c>
      <c r="Q18" s="653" t="s">
        <v>344</v>
      </c>
      <c r="R18" s="654" t="s">
        <v>398</v>
      </c>
      <c r="S18" s="655" t="s">
        <v>396</v>
      </c>
      <c r="T18" s="656" t="s">
        <v>399</v>
      </c>
      <c r="U18" s="657" t="s">
        <v>345</v>
      </c>
      <c r="V18" s="549"/>
      <c r="X18" s="28" t="e">
        <f>IF(AND(F18=1,H18=5),$H$25,IF(AND(F18=1,H18=10),#REF!,IF(AND(F18=1,H18=20),#REF!," ")))</f>
        <v>#REF!</v>
      </c>
      <c r="Y18" s="28" t="str">
        <f>IF(AND(F18=2,H18=5),$H$26,IF(AND(F18=2,H18=10),#REF!,IF(AND(F18=2,H18=20),#REF!," ")))</f>
        <v xml:space="preserve"> </v>
      </c>
      <c r="Z18" s="28" t="str">
        <f>IF(AND(F18=3,H18=5),$H$27,IF(AND(F18=3,H18=10),#REF!,IF(AND(F18=3,H18=20),#REF!," ")))</f>
        <v xml:space="preserve"> </v>
      </c>
      <c r="AA18" s="28" t="str">
        <f>IF(AND(F18=4,H18=5),$H$28,IF(AND(F18=4,H18=10),#REF!,IF(AND(F18=4,H18=20),#REF!," ")))</f>
        <v xml:space="preserve"> </v>
      </c>
      <c r="AB18" s="28" t="str">
        <f>IF(AND(F18=5,H18=5),$H$29,IF(AND(F18=5,H18=10),#REF!,IF(AND(F18=5,H18=20),#REF!," ")))</f>
        <v xml:space="preserve"> </v>
      </c>
      <c r="AE18" s="28" t="e">
        <f>IF(AND(L18&gt;0,'[17]EvaluaciónRiesgoCorrup (1)'!$F$11&gt;75,F18=1,H18=5),$H$25,IF(AND(L18&gt;0,'[17]EvaluaciónRiesgoCorrup (1)'!$F$11&gt;75,F18=1,H18=10),#REF!,IF(AND(L18&gt;0,'[17]EvaluaciónRiesgoCorrup (1)'!$F$11&gt;75,F18=1,H18=20),#REF!," ")))</f>
        <v>#REF!</v>
      </c>
      <c r="AF18" s="28" t="str">
        <f>IF(AND(L18&gt;0,'[17]EvaluaciónRiesgoCorrup (1)'!$F$11&gt;75,F18=2,H18=5),$H$25,IF(AND(L18&gt;0,'[17]EvaluaciónRiesgoCorrup (1)'!$F$11&gt;75,F18=2,H18=10),#REF!,IF(AND(L18&gt;0,'[17]EvaluaciónRiesgoCorrup (1)'!$F$11&gt;75,F18=2,H18=20),#REF!," ")))</f>
        <v xml:space="preserve"> </v>
      </c>
      <c r="AG18" s="28" t="str">
        <f>IF(AND(L18&gt;0,'[17]EvaluaciónRiesgoCorrup (1)'!$F$11&gt;75,F18=3,H18=5),$H$25,IF(AND(L18&gt;0,'[17]EvaluaciónRiesgoCorrup (1)'!$F$11&gt;75,F18=3,H18=10),#REF!,IF(AND(L18&gt;0,'[17]EvaluaciónRiesgoCorrup (1)'!$F$11&gt;75,F18=3,H18=20),#REF!," ")))</f>
        <v xml:space="preserve"> </v>
      </c>
      <c r="AH18" s="28" t="str">
        <f>IF(AND(L18&gt;0,'[17]EvaluaciónRiesgoCorrup (1)'!$F$11&gt;75,F18=4,H18=5),$H$26,IF(AND(L18&gt;0,'[17]EvaluaciónRiesgoCorrup (1)'!$F$11&gt;75,F18=4,H18=10),#REF!,IF(AND(L18&gt;0,'[17]EvaluaciónRiesgoCorrup (1)'!$F$11&gt;75,F18=4,H18=20),#REF!," ")))</f>
        <v xml:space="preserve"> </v>
      </c>
      <c r="AI18" s="28" t="str">
        <f>IF(AND(L18&gt;0,'[17]EvaluaciónRiesgoCorrup (1)'!$F$11&gt;75,F18=5,H18=5),$H$27,IF(AND(L18&gt;0,'[17]EvaluaciónRiesgoCorrup (1)'!$F$11&gt;75,F18=5,H18=10),#REF!,IF(AND(L18&gt;0,'[17]EvaluaciónRiesgoCorrup (1)'!$F$11&gt;75,F18=5,H18=20),#REF!," ")))</f>
        <v xml:space="preserve"> </v>
      </c>
      <c r="AK18" s="28" t="str">
        <f>IF(AND(L18&gt;0,'[17]EvaluaciónRiesgoCorrup (1)'!$F$11&gt;50,'[17]EvaluaciónRiesgoCorrup (1)'!$F$11&lt;76,F18=1,H18=5),$H$25,IF(AND(L18&gt;0,'[17]EvaluaciónRiesgoCorrup (1)'!$F$11&gt;50,'[17]EvaluaciónRiesgoCorrup (1)'!$F$11&lt;76,F18=1,H18=10),#REF!,IF(AND(L18&gt;0,'[17]EvaluaciónRiesgoCorrup (1)'!$F$11&gt;50,'[17]EvaluaciónRiesgoCorrup (1)'!$F$11&lt;76,F18=1,H18=20),#REF!," ")))</f>
        <v xml:space="preserve"> </v>
      </c>
      <c r="AL18" s="28" t="str">
        <f>IF(AND(L18&gt;0,'[17]EvaluaciónRiesgoCorrup (1)'!$F$11&gt;50,'[17]EvaluaciónRiesgoCorrup (1)'!$F$11&lt;76,F18=2,H18=5),$H$25,IF(AND(L18&gt;0,'[17]EvaluaciónRiesgoCorrup (1)'!$F$11&gt;50,'[17]EvaluaciónRiesgoCorrup (1)'!$F$11&lt;76,F18=2,H18=10),#REF!,IF(AND(L18&gt;0,'[17]EvaluaciónRiesgoCorrup (1)'!$F$11&gt;50,'[17]EvaluaciónRiesgoCorrup (1)'!$F$11&lt;76,F18=2,H18=20),#REF!," ")))</f>
        <v xml:space="preserve"> </v>
      </c>
      <c r="AM18" s="28" t="str">
        <f>IF(AND(L18&gt;0,'[17]EvaluaciónRiesgoCorrup (1)'!$F$11&gt;50,'[17]EvaluaciónRiesgoCorrup (1)'!$F$11&lt;76,F18=3,H18=5),$H$26,IF(AND(L18&gt;0,'[17]EvaluaciónRiesgoCorrup (1)'!$F$11&gt;50,'[17]EvaluaciónRiesgoCorrup (1)'!$F$11&lt;76,F18=3,H18=10),#REF!,IF(AND(L18&gt;0,'[17]EvaluaciónRiesgoCorrup (1)'!$F$11&gt;50,'[17]EvaluaciónRiesgoCorrup (1)'!$F$11&lt;76,F18=3,H18=20),#REF!," ")))</f>
        <v xml:space="preserve"> </v>
      </c>
      <c r="AN18" s="28" t="str">
        <f>IF(AND(L18&gt;0,'[17]EvaluaciónRiesgoCorrup (1)'!$F$11&gt;50,'[17]EvaluaciónRiesgoCorrup (1)'!$F$11&lt;76,F18=4,H18=5),$H$27,IF(AND(L18&gt;0,'[17]EvaluaciónRiesgoCorrup (1)'!$F$11&gt;50,'[17]EvaluaciónRiesgoCorrup (1)'!$F$11&lt;76,F18=4,H18=10),#REF!,IF(AND(L18&gt;0,'[17]EvaluaciónRiesgoCorrup (1)'!$F$11&gt;50,'[17]EvaluaciónRiesgoCorrup (1)'!$F$11&lt;76,F18=4,H18=20),#REF!," ")))</f>
        <v xml:space="preserve"> </v>
      </c>
      <c r="AO18" s="28" t="str">
        <f>IF(AND(L18&gt;0,'[17]EvaluaciónRiesgoCorrup (1)'!$F$11&gt;50,'[17]EvaluaciónRiesgoCorrup (1)'!$F$11&lt;76,F18=5,H18=5),$H$28,IF(AND(L18&gt;0,'[17]EvaluaciónRiesgoCorrup (1)'!$F$11&gt;50,'[17]EvaluaciónRiesgoCorrup (1)'!$F$11&lt;76,F18=5,H18=10),#REF!,IF(AND(L18&gt;0,'[17]EvaluaciónRiesgoCorrup (1)'!$F$11&gt;50,'[17]EvaluaciónRiesgoCorrup (1)'!$F$11&lt;76,F18=5,H18=20),#REF!," ")))</f>
        <v xml:space="preserve"> </v>
      </c>
      <c r="AR18" s="28" t="str">
        <f>IF(AND(L18&gt;0,'[17]EvaluaciónRiesgoCorrup (1)'!$F$11&lt;51,F18=1,H18=5),$H$25,IF(AND(L18&gt;0,'[17]EvaluaciónRiesgoCorrup (1)'!$F$11&lt;51,F18=1,H18=10),#REF!,IF(AND(L18&gt;0,'[17]EvaluaciónRiesgoCorrup (1)'!$F$11&lt;51,F18=1,H18=20),#REF!," ")))</f>
        <v xml:space="preserve"> </v>
      </c>
      <c r="AS18" s="28" t="str">
        <f>IF(AND(L18&gt;0,'[17]EvaluaciónRiesgoCorrup (1)'!$F$11&lt;51,F18=2,H18=5),$H$26,IF(AND(L18&gt;0,'[17]EvaluaciónRiesgoCorrup (1)'!$F$11&lt;51,F18=2,H18=10),#REF!,IF(AND(L18&gt;0,'[17]EvaluaciónRiesgoCorrup (1)'!$F$11&lt;51,F18=2,H18=20),#REF!," ")))</f>
        <v xml:space="preserve"> </v>
      </c>
      <c r="AT18" s="28" t="str">
        <f>IF(AND(L18&gt;0,'[17]EvaluaciónRiesgoCorrup (1)'!$F$11&lt;51,F18=3,H18=5),$H$27,IF(AND(L18&gt;0,'[17]EvaluaciónRiesgoCorrup (1)'!$F$11&lt;51,F18=3,H18=10),#REF!,IF(AND(L18&gt;0,'[17]EvaluaciónRiesgoCorrup (1)'!$F$11&lt;51,F18=3,H18=20),#REF!," ")))</f>
        <v xml:space="preserve"> </v>
      </c>
      <c r="AU18" s="28" t="str">
        <f>IF(AND(L18&gt;0,'[17]EvaluaciónRiesgoCorrup (1)'!$F$11&lt;51,F18=4,H18=5),$H$28,IF(AND(L18&gt;0,'[17]EvaluaciónRiesgoCorrup (1)'!$F$11&lt;51,F18=4,H18=10),#REF!,IF(AND(L18&gt;0,'[17]EvaluaciónRiesgoCorrup (1)'!$F$11&lt;51,F18=4,H18=20),#REF!," ")))</f>
        <v xml:space="preserve"> </v>
      </c>
      <c r="AV18" s="28" t="str">
        <f>IF(AND(L18&gt;0,'[17]EvaluaciónRiesgoCorrup (1)'!$F$11&lt;51,F18=5,H18=5),$H$29,IF(AND(L18&gt;0,'[17]EvaluaciónRiesgoCorrup (1)'!$F$11&lt;51,F18=5,H18=10),#REF!,IF(AND(L18&gt;0,'[17]EvaluaciónRiesgoCorrup (1)'!$F$11&lt;51,F18=5,H18=20),#REF!," ")))</f>
        <v xml:space="preserve"> </v>
      </c>
      <c r="AZ18" s="28" t="str">
        <f>IF(AND(M18&gt;0,'[17]EvaluaciónRiesgoCorrup (1)'!$F$11&gt;75,F18=1,H18=5),$H$25,IF(AND(M18&gt;0,'[17]EvaluaciónRiesgoCorrup (1)'!$F$11&gt;75,F18=1,H18=10),$H$25,IF(AND(M18&gt;0,'[17]EvaluaciónRiesgoCorrup (1)'!$F$11&gt;75,F18=1,H18=20),$H$25," ")))</f>
        <v xml:space="preserve"> </v>
      </c>
      <c r="BA18" s="28" t="str">
        <f>IF(AND(M18&gt;0,'[17]EvaluaciónRiesgoCorrup (1)'!$F$11&gt;75,F18=2,H18=5),$H$26,IF(AND(M18&gt;0,'[17]EvaluaciónRiesgoCorrup (1)'!$F$11&gt;75,F18=2,H18=10),$H$26,IF(AND(M18&gt;0,'[17]EvaluaciónRiesgoCorrup (1)'!$F$11&gt;75,F18=2,H18=20),$H$26," ")))</f>
        <v xml:space="preserve"> </v>
      </c>
      <c r="BB18" s="28" t="str">
        <f>IF(AND(M18&gt;0,'[17]EvaluaciónRiesgoCorrup (1)'!$F$11&gt;75,F18=3,H18=5),$H$27,IF(AND(M18&gt;0,'[17]EvaluaciónRiesgoCorrup (1)'!$F$11&gt;75,F18=3,H18=10),$H$27,IF(AND(M18&gt;0,'[17]EvaluaciónRiesgoCorrup (1)'!$F$11&gt;75,F18=3,H18=20),$H$27," ")))</f>
        <v xml:space="preserve"> </v>
      </c>
      <c r="BC18" s="28" t="str">
        <f>IF(AND(M18&gt;0,'[17]EvaluaciónRiesgoCorrup (1)'!$F$11&gt;75,F18=4,H18=5),$H$28,IF(AND(M18&gt;0,'[17]EvaluaciónRiesgoCorrup (1)'!$F$11&gt;75,F18=4,H18=10),$H$28,IF(AND(M18&gt;0,'[17]EvaluaciónRiesgoCorrup (1)'!$F$11&gt;75,F18=4,H18=20),$H$28," ")))</f>
        <v xml:space="preserve"> </v>
      </c>
      <c r="BD18" s="28" t="str">
        <f>IF(AND(M18&gt;0,'[17]EvaluaciónRiesgoCorrup (1)'!$F$11&gt;75,F18=5,H18=5),$H$29,IF(AND(M18&gt;0,'[17]EvaluaciónRiesgoCorrup (1)'!$F$11&gt;75,F18=5,H18=10),$H$29,IF(AND(M18&gt;0,'[17]EvaluaciónRiesgoCorrup (1)'!$F$11&gt;75,F18=5,H18=20),$H$29," ")))</f>
        <v xml:space="preserve"> </v>
      </c>
      <c r="BG18" s="28" t="str">
        <f>IF(AND(M18&gt;0,'[17]EvaluaciónRiesgoCorrup (1)'!$F$11&gt;50,'[17]EvaluaciónRiesgoCorrup (1)'!$F$11&lt;76,F18=1,H18=5),$H$25,IF(AND(M18&gt;0,'[17]EvaluaciónRiesgoCorrup (1)'!$F$11&gt;50,'[17]EvaluaciónRiesgoCorrup (1)'!$F$11&lt;76,F18=1,H18=10),$H$25,IF(AND(M18&gt;0,'[17]EvaluaciónRiesgoCorrup (1)'!$F$11&gt;50,'[17]EvaluaciónRiesgoCorrup (1)'!$F$11&lt;76,F18=1,H18=20),#REF!," ")))</f>
        <v xml:space="preserve"> </v>
      </c>
      <c r="BH18" s="28" t="str">
        <f>IF(AND(M18&gt;0,'[17]EvaluaciónRiesgoCorrup (1)'!$F$11&gt;50,'[17]EvaluaciónRiesgoCorrup (1)'!$F$11&lt;76,F18=2,H18=5),$H$26,IF(AND(M18&gt;0,'[17]EvaluaciónRiesgoCorrup (1)'!$F$11&gt;50,'[17]EvaluaciónRiesgoCorrup (1)'!$F$11&lt;76,F18=2,H18=10),$H$26,IF(AND(M18&gt;0,'[17]EvaluaciónRiesgoCorrup (1)'!$F$11&gt;50,'[17]EvaluaciónRiesgoCorrup (1)'!$F$11&lt;76,F18=2,H18=20),#REF!," ")))</f>
        <v xml:space="preserve"> </v>
      </c>
      <c r="BI18" s="28" t="str">
        <f>IF(AND(M18&gt;0,'[17]EvaluaciónRiesgoCorrup (1)'!$F$11&gt;50,'[17]EvaluaciónRiesgoCorrup (1)'!$F$11&lt;76,F18=3,H18=5),$H$27,IF(AND(M18&gt;0,'[17]EvaluaciónRiesgoCorrup (1)'!$F$11&gt;50,'[17]EvaluaciónRiesgoCorrup (1)'!$F$11&lt;76,F18=3,H18=10),$H$27,IF(AND(M18&gt;0,'[17]EvaluaciónRiesgoCorrup (1)'!$F$11&gt;50,'[17]EvaluaciónRiesgoCorrup (1)'!$F$11&lt;76,F18=3,H18=20),#REF!," ")))</f>
        <v xml:space="preserve"> </v>
      </c>
      <c r="BJ18" s="28" t="str">
        <f>IF(AND(M18&gt;0,'[17]EvaluaciónRiesgoCorrup (1)'!$F$11&gt;50,'[17]EvaluaciónRiesgoCorrup (1)'!$F$11&lt;76,F18=4,H18=5),$H$28,IF(AND(M18&gt;0,'[17]EvaluaciónRiesgoCorrup (1)'!$F$11&gt;50,'[17]EvaluaciónRiesgoCorrup (1)'!$F$11&lt;76,F18=4,H18=10),$H$28,IF(AND(M18&gt;0,'[17]EvaluaciónRiesgoCorrup (1)'!$F$11&gt;50,'[17]EvaluaciónRiesgoCorrup (1)'!$F$11&lt;76,F18=4,H18=20),#REF!," ")))</f>
        <v xml:space="preserve"> </v>
      </c>
      <c r="BK18" s="28" t="str">
        <f>IF(AND(M18&gt;0,'[17]EvaluaciónRiesgoCorrup (1)'!$F$11&gt;50,'[17]EvaluaciónRiesgoCorrup (1)'!$F$11&lt;76,F18=5,H18=5),$H$29,IF(AND(M18&gt;0,'[17]EvaluaciónRiesgoCorrup (1)'!$F$11&gt;50,'[17]EvaluaciónRiesgoCorrup (1)'!$F$11&lt;76,F18=5,H18=10),$H$29,IF(AND(M18&gt;0,'[17]EvaluaciónRiesgoCorrup (1)'!$F$11&gt;50,'[17]EvaluaciónRiesgoCorrup (1)'!$F$11&lt;76,F18=5,H18=20),#REF!," ")))</f>
        <v xml:space="preserve"> </v>
      </c>
      <c r="BN18" s="28" t="str">
        <f>IF(AND(M18&gt;0,'[17]EvaluaciónRiesgoCorrup (1)'!$F$11&lt;51,F18=1,H18=5),$H$25,IF(AND(M18&gt;0,'[17]EvaluaciónRiesgoCorrup (1)'!$F$11&lt;51,F18=1,H18=10),#REF!,IF(AND(M18&gt;0,'[17]EvaluaciónRiesgoCorrup (1)'!$F$11&lt;51,F18=1,H18=20),#REF!," ")))</f>
        <v xml:space="preserve"> </v>
      </c>
      <c r="BO18" s="28" t="str">
        <f>IF(AND(M18&gt;0,'[17]EvaluaciónRiesgoCorrup (1)'!$F$11&lt;51,F18=2,H18=5),$H$26,IF(AND(M18&gt;0,'[17]EvaluaciónRiesgoCorrup (1)'!$F$11&lt;51,F18=2,H18=10),#REF!,IF(AND(M18&gt;0,'[17]EvaluaciónRiesgoCorrup (1)'!$F$11&lt;51,F18=2,H18=20),#REF!," ")))</f>
        <v xml:space="preserve"> </v>
      </c>
      <c r="BP18" s="28" t="str">
        <f>IF(AND(M18&gt;0,'[17]EvaluaciónRiesgoCorrup (1)'!$F$11&lt;51,F18=3,H18=5),$H$27,IF(AND(M18&gt;0,'[17]EvaluaciónRiesgoCorrup (1)'!$F$11&lt;51,F18=3,H18=10),#REF!,IF(AND(M18&gt;0,'[17]EvaluaciónRiesgoCorrup (1)'!$F$11&lt;51,F18=3,H18=20),#REF!," ")))</f>
        <v xml:space="preserve"> </v>
      </c>
      <c r="BQ18" s="28" t="str">
        <f>IF(AND(M18&gt;0,'[17]EvaluaciónRiesgoCorrup (1)'!$F$11&lt;51,F18=4,H18=5),$H$28,IF(AND(M18&gt;0,'[17]EvaluaciónRiesgoCorrup (1)'!$F$11&lt;51,F18=4,H18=10),#REF!,IF(AND(M18&gt;0,'[17]EvaluaciónRiesgoCorrup (1)'!$F$11&lt;51,F18=4,H18=20),#REF!," ")))</f>
        <v xml:space="preserve"> </v>
      </c>
      <c r="BR18" s="28" t="str">
        <f>IF(AND(M18&gt;0,'[17]EvaluaciónRiesgoCorrup (1)'!$F$11&lt;51,F18=5,H18=5),$H$29,IF(AND(M18&gt;0,'[17]EvaluaciónRiesgoCorrup (1)'!$F$11&lt;51,F18=5,H18=10),#REF!,IF(AND(M18&gt;0,'[17]EvaluaciónRiesgoCorrup (1)'!$F$11&lt;51,F18=5,H18=20),#REF!," ")))</f>
        <v xml:space="preserve"> </v>
      </c>
    </row>
    <row r="19" spans="1:70" ht="153.75" customHeight="1" x14ac:dyDescent="0.35">
      <c r="A19" s="658" t="s">
        <v>400</v>
      </c>
      <c r="B19" s="659" t="s">
        <v>401</v>
      </c>
      <c r="C19" s="660" t="s">
        <v>402</v>
      </c>
      <c r="D19" s="661" t="s">
        <v>403</v>
      </c>
      <c r="E19" s="662" t="s">
        <v>106</v>
      </c>
      <c r="F19" s="663">
        <v>4</v>
      </c>
      <c r="G19" s="664" t="s">
        <v>114</v>
      </c>
      <c r="H19" s="665">
        <v>5</v>
      </c>
      <c r="I19" s="666" t="s">
        <v>122</v>
      </c>
      <c r="J19" s="667" t="s">
        <v>53</v>
      </c>
      <c r="K19" s="669" t="s">
        <v>404</v>
      </c>
      <c r="L19" s="1094" t="s">
        <v>26</v>
      </c>
      <c r="M19" s="1095"/>
      <c r="N19" s="671" t="s">
        <v>51</v>
      </c>
      <c r="O19" s="670" t="s">
        <v>405</v>
      </c>
      <c r="P19" s="672" t="s">
        <v>83</v>
      </c>
      <c r="Q19" s="673" t="s">
        <v>406</v>
      </c>
      <c r="R19" s="674" t="s">
        <v>407</v>
      </c>
      <c r="S19" s="675" t="s">
        <v>396</v>
      </c>
      <c r="T19" s="676" t="s">
        <v>408</v>
      </c>
      <c r="U19" s="677" t="s">
        <v>345</v>
      </c>
      <c r="V19" s="409"/>
      <c r="X19" s="28" t="str">
        <f>IF(AND(F19=1,H19=5),$H$25,IF(AND(F19=1,H19=10),#REF!,IF(AND(F19=1,H19=20),#REF!," ")))</f>
        <v xml:space="preserve"> </v>
      </c>
      <c r="Y19" s="28" t="str">
        <f>IF(AND(F19=2,H19=5),$H$26,IF(AND(F19=2,H19=10),#REF!,IF(AND(F19=2,H19=20),#REF!," ")))</f>
        <v xml:space="preserve"> </v>
      </c>
      <c r="Z19" s="28" t="str">
        <f>IF(AND(F19=3,H19=5),$H$27,IF(AND(F19=3,H19=10),#REF!,IF(AND(F19=3,H19=20),#REF!," ")))</f>
        <v xml:space="preserve"> </v>
      </c>
      <c r="AA19" s="28" t="str">
        <f>IF(AND(F19=4,H19=5),$H$28,IF(AND(F19=4,H19=10),#REF!,IF(AND(F19=4,H19=20),#REF!," ")))</f>
        <v>M</v>
      </c>
      <c r="AB19" s="28" t="str">
        <f>IF(AND(F19=5,H19=5),$H$29,IF(AND(F19=5,H19=10),#REF!,IF(AND(F19=5,H19=20),#REF!," ")))</f>
        <v xml:space="preserve"> </v>
      </c>
      <c r="AE19" s="28" t="str">
        <f>IF(AND(L19&gt;0,'[17]EvaluaciónRiesgoCorrup (1)'!$F$11&gt;75,F19=1,H19=5),$H$25,IF(AND(L19&gt;0,'[17]EvaluaciónRiesgoCorrup (1)'!$F$11&gt;75,F19=1,H19=10),#REF!,IF(AND(L19&gt;0,'[17]EvaluaciónRiesgoCorrup (1)'!$F$11&gt;75,F19=1,H19=20),#REF!," ")))</f>
        <v xml:space="preserve"> </v>
      </c>
      <c r="AF19" s="28" t="str">
        <f>IF(AND(L19&gt;0,'[17]EvaluaciónRiesgoCorrup (1)'!$F$11&gt;75,F19=2,H19=5),$H$25,IF(AND(L19&gt;0,'[17]EvaluaciónRiesgoCorrup (1)'!$F$11&gt;75,F19=2,H19=10),#REF!,IF(AND(L19&gt;0,'[17]EvaluaciónRiesgoCorrup (1)'!$F$11&gt;75,F19=2,H19=20),#REF!," ")))</f>
        <v xml:space="preserve"> </v>
      </c>
      <c r="AG19" s="28" t="str">
        <f>IF(AND(L19&gt;0,'[17]EvaluaciónRiesgoCorrup (1)'!$F$11&gt;75,F19=3,H19=5),$H$25,IF(AND(L19&gt;0,'[17]EvaluaciónRiesgoCorrup (1)'!$F$11&gt;75,F19=3,H19=10),#REF!,IF(AND(L19&gt;0,'[17]EvaluaciónRiesgoCorrup (1)'!$F$11&gt;75,F19=3,H19=20),#REF!," ")))</f>
        <v xml:space="preserve"> </v>
      </c>
      <c r="AH19" s="28" t="str">
        <f>IF(AND(L19&gt;0,'[17]EvaluaciónRiesgoCorrup (1)'!$F$11&gt;75,F19=4,H19=5),$H$26,IF(AND(L19&gt;0,'[17]EvaluaciónRiesgoCorrup (1)'!$F$11&gt;75,F19=4,H19=10),#REF!,IF(AND(L19&gt;0,'[17]EvaluaciónRiesgoCorrup (1)'!$F$11&gt;75,F19=4,H19=20),#REF!," ")))</f>
        <v>B</v>
      </c>
      <c r="AI19" s="28" t="str">
        <f>IF(AND(L19&gt;0,'[17]EvaluaciónRiesgoCorrup (1)'!$F$11&gt;75,F19=5,H19=5),$H$27,IF(AND(L19&gt;0,'[17]EvaluaciónRiesgoCorrup (1)'!$F$11&gt;75,F19=5,H19=10),#REF!,IF(AND(L19&gt;0,'[17]EvaluaciónRiesgoCorrup (1)'!$F$11&gt;75,F19=5,H19=20),#REF!," ")))</f>
        <v xml:space="preserve"> </v>
      </c>
      <c r="AK19" s="28" t="str">
        <f>IF(AND(L19&gt;0,'[17]EvaluaciónRiesgoCorrup (1)'!$F$11&gt;50,'[17]EvaluaciónRiesgoCorrup (1)'!$F$11&lt;76,F19=1,H19=5),$H$25,IF(AND(L19&gt;0,'[17]EvaluaciónRiesgoCorrup (1)'!$F$11&gt;50,'[17]EvaluaciónRiesgoCorrup (1)'!$F$11&lt;76,F19=1,H19=10),#REF!,IF(AND(L19&gt;0,'[17]EvaluaciónRiesgoCorrup (1)'!$F$11&gt;50,'[17]EvaluaciónRiesgoCorrup (1)'!$F$11&lt;76,F19=1,H19=20),#REF!," ")))</f>
        <v xml:space="preserve"> </v>
      </c>
      <c r="AL19" s="28" t="str">
        <f>IF(AND(L19&gt;0,'[17]EvaluaciónRiesgoCorrup (1)'!$F$11&gt;50,'[17]EvaluaciónRiesgoCorrup (1)'!$F$11&lt;76,F19=2,H19=5),$H$25,IF(AND(L19&gt;0,'[17]EvaluaciónRiesgoCorrup (1)'!$F$11&gt;50,'[17]EvaluaciónRiesgoCorrup (1)'!$F$11&lt;76,F19=2,H19=10),#REF!,IF(AND(L19&gt;0,'[17]EvaluaciónRiesgoCorrup (1)'!$F$11&gt;50,'[17]EvaluaciónRiesgoCorrup (1)'!$F$11&lt;76,F19=2,H19=20),#REF!," ")))</f>
        <v xml:space="preserve"> </v>
      </c>
      <c r="AM19" s="28" t="str">
        <f>IF(AND(L19&gt;0,'[17]EvaluaciónRiesgoCorrup (1)'!$F$11&gt;50,'[17]EvaluaciónRiesgoCorrup (1)'!$F$11&lt;76,F19=3,H19=5),$H$26,IF(AND(L19&gt;0,'[17]EvaluaciónRiesgoCorrup (1)'!$F$11&gt;50,'[17]EvaluaciónRiesgoCorrup (1)'!$F$11&lt;76,F19=3,H19=10),#REF!,IF(AND(L19&gt;0,'[17]EvaluaciónRiesgoCorrup (1)'!$F$11&gt;50,'[17]EvaluaciónRiesgoCorrup (1)'!$F$11&lt;76,F19=3,H19=20),#REF!," ")))</f>
        <v xml:space="preserve"> </v>
      </c>
      <c r="AN19" s="28" t="str">
        <f>IF(AND(L19&gt;0,'[17]EvaluaciónRiesgoCorrup (1)'!$F$11&gt;50,'[17]EvaluaciónRiesgoCorrup (1)'!$F$11&lt;76,F19=4,H19=5),$H$27,IF(AND(L19&gt;0,'[17]EvaluaciónRiesgoCorrup (1)'!$F$11&gt;50,'[17]EvaluaciónRiesgoCorrup (1)'!$F$11&lt;76,F19=4,H19=10),#REF!,IF(AND(L19&gt;0,'[17]EvaluaciónRiesgoCorrup (1)'!$F$11&gt;50,'[17]EvaluaciónRiesgoCorrup (1)'!$F$11&lt;76,F19=4,H19=20),#REF!," ")))</f>
        <v xml:space="preserve"> </v>
      </c>
      <c r="AO19" s="28" t="str">
        <f>IF(AND(L19&gt;0,'[17]EvaluaciónRiesgoCorrup (1)'!$F$11&gt;50,'[17]EvaluaciónRiesgoCorrup (1)'!$F$11&lt;76,F19=5,H19=5),$H$28,IF(AND(L19&gt;0,'[17]EvaluaciónRiesgoCorrup (1)'!$F$11&gt;50,'[17]EvaluaciónRiesgoCorrup (1)'!$F$11&lt;76,F19=5,H19=10),#REF!,IF(AND(L19&gt;0,'[17]EvaluaciónRiesgoCorrup (1)'!$F$11&gt;50,'[17]EvaluaciónRiesgoCorrup (1)'!$F$11&lt;76,F19=5,H19=20),#REF!," ")))</f>
        <v xml:space="preserve"> </v>
      </c>
      <c r="AR19" s="28" t="str">
        <f>IF(AND(L19&gt;0,'[17]EvaluaciónRiesgoCorrup (1)'!$F$11&lt;51,F19=1,H19=5),$H$25,IF(AND(L19&gt;0,'[17]EvaluaciónRiesgoCorrup (1)'!$F$11&lt;51,F19=1,H19=10),#REF!,IF(AND(L19&gt;0,'[17]EvaluaciónRiesgoCorrup (1)'!$F$11&lt;51,F19=1,H19=20),#REF!," ")))</f>
        <v xml:space="preserve"> </v>
      </c>
      <c r="AS19" s="28" t="str">
        <f>IF(AND(L19&gt;0,'[17]EvaluaciónRiesgoCorrup (1)'!$F$11&lt;51,F19=2,H19=5),$H$26,IF(AND(L19&gt;0,'[17]EvaluaciónRiesgoCorrup (1)'!$F$11&lt;51,F19=2,H19=10),#REF!,IF(AND(L19&gt;0,'[17]EvaluaciónRiesgoCorrup (1)'!$F$11&lt;51,F19=2,H19=20),#REF!," ")))</f>
        <v xml:space="preserve"> </v>
      </c>
      <c r="AT19" s="28" t="str">
        <f>IF(AND(L19&gt;0,'[17]EvaluaciónRiesgoCorrup (1)'!$F$11&lt;51,F19=3,H19=5),$H$27,IF(AND(L19&gt;0,'[17]EvaluaciónRiesgoCorrup (1)'!$F$11&lt;51,F19=3,H19=10),#REF!,IF(AND(L19&gt;0,'[17]EvaluaciónRiesgoCorrup (1)'!$F$11&lt;51,F19=3,H19=20),#REF!," ")))</f>
        <v xml:space="preserve"> </v>
      </c>
      <c r="AU19" s="28" t="str">
        <f>IF(AND(L19&gt;0,'[17]EvaluaciónRiesgoCorrup (1)'!$F$11&lt;51,F19=4,H19=5),$H$28,IF(AND(L19&gt;0,'[17]EvaluaciónRiesgoCorrup (1)'!$F$11&lt;51,F19=4,H19=10),#REF!,IF(AND(L19&gt;0,'[17]EvaluaciónRiesgoCorrup (1)'!$F$11&lt;51,F19=4,H19=20),#REF!," ")))</f>
        <v xml:space="preserve"> </v>
      </c>
      <c r="AV19" s="28" t="str">
        <f>IF(AND(L19&gt;0,'[17]EvaluaciónRiesgoCorrup (1)'!$F$11&lt;51,F19=5,H19=5),$H$29,IF(AND(L19&gt;0,'[17]EvaluaciónRiesgoCorrup (1)'!$F$11&lt;51,F19=5,H19=10),#REF!,IF(AND(L19&gt;0,'[17]EvaluaciónRiesgoCorrup (1)'!$F$11&lt;51,F19=5,H19=20),#REF!," ")))</f>
        <v xml:space="preserve"> </v>
      </c>
      <c r="AZ19" s="28" t="str">
        <f>IF(AND(M19&gt;0,'[17]EvaluaciónRiesgoCorrup (1)'!$F$11&gt;75,F19=1,H19=5),$H$25,IF(AND(M19&gt;0,'[17]EvaluaciónRiesgoCorrup (1)'!$F$11&gt;75,F19=1,H19=10),$H$25,IF(AND(M19&gt;0,'[17]EvaluaciónRiesgoCorrup (1)'!$F$11&gt;75,F19=1,H19=20),$H$25," ")))</f>
        <v xml:space="preserve"> </v>
      </c>
      <c r="BA19" s="28" t="str">
        <f>IF(AND(M19&gt;0,'[17]EvaluaciónRiesgoCorrup (1)'!$F$11&gt;75,F19=2,H19=5),$H$26,IF(AND(M19&gt;0,'[17]EvaluaciónRiesgoCorrup (1)'!$F$11&gt;75,F19=2,H19=10),$H$26,IF(AND(M19&gt;0,'[17]EvaluaciónRiesgoCorrup (1)'!$F$11&gt;75,F19=2,H19=20),$H$26," ")))</f>
        <v xml:space="preserve"> </v>
      </c>
      <c r="BB19" s="28" t="str">
        <f>IF(AND(M19&gt;0,'[17]EvaluaciónRiesgoCorrup (1)'!$F$11&gt;75,F19=3,H19=5),$H$27,IF(AND(M19&gt;0,'[17]EvaluaciónRiesgoCorrup (1)'!$F$11&gt;75,F19=3,H19=10),$H$27,IF(AND(M19&gt;0,'[17]EvaluaciónRiesgoCorrup (1)'!$F$11&gt;75,F19=3,H19=20),$H$27," ")))</f>
        <v xml:space="preserve"> </v>
      </c>
      <c r="BC19" s="28" t="str">
        <f>IF(AND(M19&gt;0,'[17]EvaluaciónRiesgoCorrup (1)'!$F$11&gt;75,F19=4,H19=5),$H$28,IF(AND(M19&gt;0,'[17]EvaluaciónRiesgoCorrup (1)'!$F$11&gt;75,F19=4,H19=10),$H$28,IF(AND(M19&gt;0,'[17]EvaluaciónRiesgoCorrup (1)'!$F$11&gt;75,F19=4,H19=20),$H$28," ")))</f>
        <v xml:space="preserve"> </v>
      </c>
      <c r="BD19" s="28" t="str">
        <f>IF(AND(M19&gt;0,'[17]EvaluaciónRiesgoCorrup (1)'!$F$11&gt;75,F19=5,H19=5),$H$29,IF(AND(M19&gt;0,'[17]EvaluaciónRiesgoCorrup (1)'!$F$11&gt;75,F19=5,H19=10),$H$29,IF(AND(M19&gt;0,'[17]EvaluaciónRiesgoCorrup (1)'!$F$11&gt;75,F19=5,H19=20),$H$29," ")))</f>
        <v xml:space="preserve"> </v>
      </c>
      <c r="BG19" s="28" t="str">
        <f>IF(AND(M19&gt;0,'[17]EvaluaciónRiesgoCorrup (1)'!$F$11&gt;50,'[17]EvaluaciónRiesgoCorrup (1)'!$F$11&lt;76,F19=1,H19=5),$H$25,IF(AND(M19&gt;0,'[17]EvaluaciónRiesgoCorrup (1)'!$F$11&gt;50,'[17]EvaluaciónRiesgoCorrup (1)'!$F$11&lt;76,F19=1,H19=10),$H$25,IF(AND(M19&gt;0,'[17]EvaluaciónRiesgoCorrup (1)'!$F$11&gt;50,'[17]EvaluaciónRiesgoCorrup (1)'!$F$11&lt;76,F19=1,H19=20),#REF!," ")))</f>
        <v xml:space="preserve"> </v>
      </c>
      <c r="BH19" s="28" t="str">
        <f>IF(AND(M19&gt;0,'[17]EvaluaciónRiesgoCorrup (1)'!$F$11&gt;50,'[17]EvaluaciónRiesgoCorrup (1)'!$F$11&lt;76,F19=2,H19=5),$H$26,IF(AND(M19&gt;0,'[17]EvaluaciónRiesgoCorrup (1)'!$F$11&gt;50,'[17]EvaluaciónRiesgoCorrup (1)'!$F$11&lt;76,F19=2,H19=10),$H$26,IF(AND(M19&gt;0,'[17]EvaluaciónRiesgoCorrup (1)'!$F$11&gt;50,'[17]EvaluaciónRiesgoCorrup (1)'!$F$11&lt;76,F19=2,H19=20),#REF!," ")))</f>
        <v xml:space="preserve"> </v>
      </c>
      <c r="BI19" s="28" t="str">
        <f>IF(AND(M19&gt;0,'[17]EvaluaciónRiesgoCorrup (1)'!$F$11&gt;50,'[17]EvaluaciónRiesgoCorrup (1)'!$F$11&lt;76,F19=3,H19=5),$H$27,IF(AND(M19&gt;0,'[17]EvaluaciónRiesgoCorrup (1)'!$F$11&gt;50,'[17]EvaluaciónRiesgoCorrup (1)'!$F$11&lt;76,F19=3,H19=10),$H$27,IF(AND(M19&gt;0,'[17]EvaluaciónRiesgoCorrup (1)'!$F$11&gt;50,'[17]EvaluaciónRiesgoCorrup (1)'!$F$11&lt;76,F19=3,H19=20),#REF!," ")))</f>
        <v xml:space="preserve"> </v>
      </c>
      <c r="BJ19" s="28" t="str">
        <f>IF(AND(M19&gt;0,'[17]EvaluaciónRiesgoCorrup (1)'!$F$11&gt;50,'[17]EvaluaciónRiesgoCorrup (1)'!$F$11&lt;76,F19=4,H19=5),$H$28,IF(AND(M19&gt;0,'[17]EvaluaciónRiesgoCorrup (1)'!$F$11&gt;50,'[17]EvaluaciónRiesgoCorrup (1)'!$F$11&lt;76,F19=4,H19=10),$H$28,IF(AND(M19&gt;0,'[17]EvaluaciónRiesgoCorrup (1)'!$F$11&gt;50,'[17]EvaluaciónRiesgoCorrup (1)'!$F$11&lt;76,F19=4,H19=20),#REF!," ")))</f>
        <v xml:space="preserve"> </v>
      </c>
      <c r="BK19" s="28" t="str">
        <f>IF(AND(M19&gt;0,'[17]EvaluaciónRiesgoCorrup (1)'!$F$11&gt;50,'[17]EvaluaciónRiesgoCorrup (1)'!$F$11&lt;76,F19=5,H19=5),$H$29,IF(AND(M19&gt;0,'[17]EvaluaciónRiesgoCorrup (1)'!$F$11&gt;50,'[17]EvaluaciónRiesgoCorrup (1)'!$F$11&lt;76,F19=5,H19=10),$H$29,IF(AND(M19&gt;0,'[17]EvaluaciónRiesgoCorrup (1)'!$F$11&gt;50,'[17]EvaluaciónRiesgoCorrup (1)'!$F$11&lt;76,F19=5,H19=20),#REF!," ")))</f>
        <v xml:space="preserve"> </v>
      </c>
      <c r="BN19" s="28" t="str">
        <f>IF(AND(M19&gt;0,'[17]EvaluaciónRiesgoCorrup (1)'!$F$11&lt;51,F19=1,H19=5),$H$25,IF(AND(M19&gt;0,'[17]EvaluaciónRiesgoCorrup (1)'!$F$11&lt;51,F19=1,H19=10),#REF!,IF(AND(M19&gt;0,'[17]EvaluaciónRiesgoCorrup (1)'!$F$11&lt;51,F19=1,H19=20),#REF!," ")))</f>
        <v xml:space="preserve"> </v>
      </c>
      <c r="BO19" s="28" t="str">
        <f>IF(AND(M19&gt;0,'[17]EvaluaciónRiesgoCorrup (1)'!$F$11&lt;51,F19=2,H19=5),$H$26,IF(AND(M19&gt;0,'[17]EvaluaciónRiesgoCorrup (1)'!$F$11&lt;51,F19=2,H19=10),#REF!,IF(AND(M19&gt;0,'[17]EvaluaciónRiesgoCorrup (1)'!$F$11&lt;51,F19=2,H19=20),#REF!," ")))</f>
        <v xml:space="preserve"> </v>
      </c>
      <c r="BP19" s="28" t="str">
        <f>IF(AND(M19&gt;0,'[17]EvaluaciónRiesgoCorrup (1)'!$F$11&lt;51,F19=3,H19=5),$H$27,IF(AND(M19&gt;0,'[17]EvaluaciónRiesgoCorrup (1)'!$F$11&lt;51,F19=3,H19=10),#REF!,IF(AND(M19&gt;0,'[17]EvaluaciónRiesgoCorrup (1)'!$F$11&lt;51,F19=3,H19=20),#REF!," ")))</f>
        <v xml:space="preserve"> </v>
      </c>
      <c r="BQ19" s="28" t="str">
        <f>IF(AND(M19&gt;0,'[17]EvaluaciónRiesgoCorrup (1)'!$F$11&lt;51,F19=4,H19=5),$H$28,IF(AND(M19&gt;0,'[17]EvaluaciónRiesgoCorrup (1)'!$F$11&lt;51,F19=4,H19=10),#REF!,IF(AND(M19&gt;0,'[17]EvaluaciónRiesgoCorrup (1)'!$F$11&lt;51,F19=4,H19=20),#REF!," ")))</f>
        <v xml:space="preserve"> </v>
      </c>
      <c r="BR19" s="28" t="str">
        <f>IF(AND(M19&gt;0,'[17]EvaluaciónRiesgoCorrup (1)'!$F$11&lt;51,F19=5,H19=5),$H$29,IF(AND(M19&gt;0,'[17]EvaluaciónRiesgoCorrup (1)'!$F$11&lt;51,F19=5,H19=10),#REF!,IF(AND(M19&gt;0,'[17]EvaluaciónRiesgoCorrup (1)'!$F$11&lt;51,F19=5,H19=20),#REF!," ")))</f>
        <v xml:space="preserve"> </v>
      </c>
    </row>
    <row r="20" spans="1:70" ht="126.75" customHeight="1" x14ac:dyDescent="0.35">
      <c r="A20" s="678" t="s">
        <v>409</v>
      </c>
      <c r="B20" s="679" t="s">
        <v>410</v>
      </c>
      <c r="C20" s="680" t="s">
        <v>411</v>
      </c>
      <c r="D20" s="681" t="s">
        <v>412</v>
      </c>
      <c r="E20" s="682" t="s">
        <v>106</v>
      </c>
      <c r="F20" s="683">
        <v>3</v>
      </c>
      <c r="G20" s="684" t="s">
        <v>107</v>
      </c>
      <c r="H20" s="685">
        <v>4</v>
      </c>
      <c r="I20" s="686" t="s">
        <v>108</v>
      </c>
      <c r="J20" s="687" t="s">
        <v>53</v>
      </c>
      <c r="K20" s="688" t="s">
        <v>413</v>
      </c>
      <c r="L20" s="607"/>
      <c r="M20" s="409"/>
      <c r="N20" s="689" t="s">
        <v>49</v>
      </c>
      <c r="O20" s="690" t="s">
        <v>154</v>
      </c>
      <c r="P20" s="691" t="s">
        <v>83</v>
      </c>
      <c r="Q20" s="692" t="s">
        <v>414</v>
      </c>
      <c r="R20" s="693" t="s">
        <v>415</v>
      </c>
      <c r="S20" s="694" t="s">
        <v>396</v>
      </c>
      <c r="T20" s="695" t="s">
        <v>416</v>
      </c>
      <c r="U20" s="696" t="s">
        <v>345</v>
      </c>
      <c r="V20" s="409"/>
    </row>
    <row r="21" spans="1:70" ht="173.25" customHeight="1" x14ac:dyDescent="0.35">
      <c r="A21" s="409"/>
      <c r="B21" s="410"/>
      <c r="C21" s="410"/>
      <c r="D21" s="410"/>
      <c r="E21" s="410"/>
      <c r="F21" s="607"/>
      <c r="G21" s="607"/>
      <c r="H21" s="607"/>
      <c r="I21" s="607"/>
      <c r="J21" s="607"/>
      <c r="K21" s="607"/>
      <c r="L21" s="607"/>
      <c r="M21" s="409"/>
      <c r="N21" s="409"/>
      <c r="O21" s="409"/>
      <c r="P21" s="409"/>
      <c r="Q21" s="409"/>
      <c r="R21" s="409"/>
      <c r="S21" s="607"/>
      <c r="T21" s="409"/>
      <c r="U21" s="409"/>
      <c r="V21" s="409"/>
    </row>
    <row r="22" spans="1:70" ht="188.25" customHeight="1" x14ac:dyDescent="0.35">
      <c r="A22" s="409"/>
      <c r="B22" s="410"/>
      <c r="C22" s="410"/>
      <c r="D22" s="410"/>
      <c r="E22" s="410"/>
      <c r="F22" s="607"/>
      <c r="G22" s="607"/>
      <c r="H22" s="668"/>
      <c r="I22" s="668"/>
      <c r="J22" s="668"/>
      <c r="K22" s="668"/>
      <c r="L22" s="607"/>
      <c r="M22" s="409"/>
      <c r="N22" s="409"/>
      <c r="O22" s="409"/>
      <c r="P22" s="409"/>
      <c r="Q22" s="409"/>
      <c r="R22" s="409"/>
      <c r="S22" s="607"/>
      <c r="T22" s="409"/>
      <c r="U22" s="409"/>
      <c r="V22" s="409"/>
    </row>
    <row r="23" spans="1:70" ht="96" customHeight="1" thickBot="1" x14ac:dyDescent="0.4">
      <c r="A23" s="6"/>
      <c r="B23" s="33"/>
      <c r="C23" s="423"/>
      <c r="D23" s="33"/>
      <c r="E23" s="423"/>
      <c r="F23" s="1082" t="s">
        <v>26</v>
      </c>
      <c r="G23" s="84"/>
      <c r="H23" s="1083" t="s">
        <v>10</v>
      </c>
      <c r="I23" s="1083"/>
      <c r="J23" s="1083"/>
      <c r="K23" s="1083"/>
      <c r="L23" s="2"/>
      <c r="Q23" s="5"/>
      <c r="S23" s="2"/>
    </row>
    <row r="24" spans="1:70" ht="32.25" customHeight="1" thickBot="1" x14ac:dyDescent="0.4">
      <c r="A24" s="5"/>
      <c r="B24" s="34" t="s">
        <v>42</v>
      </c>
      <c r="C24" s="411"/>
      <c r="D24" s="34"/>
      <c r="E24" s="411"/>
      <c r="F24" s="1020"/>
      <c r="G24" s="444"/>
      <c r="H24" s="35" t="s">
        <v>43</v>
      </c>
      <c r="I24" s="412"/>
      <c r="J24" s="412"/>
      <c r="K24" s="412"/>
      <c r="L24" s="2"/>
      <c r="Q24" s="5"/>
      <c r="S24" s="2"/>
    </row>
    <row r="25" spans="1:70" ht="14.5" thickBot="1" x14ac:dyDescent="0.4">
      <c r="B25" s="5" t="s">
        <v>46</v>
      </c>
      <c r="C25" s="402"/>
      <c r="F25" s="37" t="s">
        <v>47</v>
      </c>
      <c r="G25" s="413"/>
      <c r="H25" s="38" t="s">
        <v>48</v>
      </c>
      <c r="I25" s="414"/>
      <c r="J25" s="414"/>
      <c r="K25" s="414"/>
      <c r="L25" s="2"/>
      <c r="Q25" s="5"/>
      <c r="S25" s="2"/>
    </row>
    <row r="26" spans="1:70" ht="14.5" thickBot="1" x14ac:dyDescent="0.4">
      <c r="F26" s="37" t="s">
        <v>50</v>
      </c>
      <c r="G26" s="413"/>
      <c r="H26" s="38" t="s">
        <v>48</v>
      </c>
      <c r="I26" s="414"/>
      <c r="J26" s="414"/>
      <c r="K26" s="414"/>
      <c r="L26" s="2"/>
      <c r="Q26" s="5"/>
      <c r="S26" s="2"/>
    </row>
    <row r="27" spans="1:70" ht="14.5" thickBot="1" x14ac:dyDescent="0.4">
      <c r="F27" s="37" t="s">
        <v>52</v>
      </c>
      <c r="G27" s="413"/>
      <c r="H27" s="39" t="s">
        <v>49</v>
      </c>
      <c r="I27" s="415"/>
      <c r="J27" s="415"/>
      <c r="K27" s="415"/>
      <c r="L27" s="2"/>
      <c r="Q27" s="5"/>
      <c r="S27" s="2"/>
    </row>
    <row r="28" spans="1:70" ht="14.5" thickBot="1" x14ac:dyDescent="0.4">
      <c r="F28" s="37" t="s">
        <v>54</v>
      </c>
      <c r="G28" s="413"/>
      <c r="H28" s="39" t="s">
        <v>49</v>
      </c>
      <c r="I28" s="415"/>
      <c r="J28" s="415"/>
      <c r="K28" s="415"/>
      <c r="L28" s="2"/>
      <c r="Q28" s="5"/>
      <c r="S28" s="2"/>
    </row>
    <row r="29" spans="1:70" ht="14.5" thickBot="1" x14ac:dyDescent="0.4">
      <c r="F29" s="37" t="s">
        <v>55</v>
      </c>
      <c r="G29" s="413"/>
      <c r="H29" s="39" t="s">
        <v>49</v>
      </c>
      <c r="I29" s="415"/>
      <c r="J29" s="415"/>
      <c r="K29" s="415"/>
      <c r="L29" s="2"/>
      <c r="Q29" s="5"/>
      <c r="S29" s="2"/>
    </row>
    <row r="30" spans="1:70" x14ac:dyDescent="0.35">
      <c r="F30" s="2"/>
      <c r="G30" s="399"/>
      <c r="H30" s="2"/>
      <c r="I30" s="399"/>
      <c r="J30" s="399"/>
      <c r="K30" s="399"/>
      <c r="M30" s="5"/>
    </row>
    <row r="31" spans="1:70" x14ac:dyDescent="0.35">
      <c r="F31" s="42" t="s">
        <v>56</v>
      </c>
      <c r="G31" s="416"/>
      <c r="H31" s="2"/>
      <c r="I31" s="399"/>
      <c r="J31" s="399"/>
      <c r="K31" s="399"/>
      <c r="M31" s="5"/>
      <c r="N31" s="5"/>
      <c r="O31" s="402"/>
      <c r="P31" s="5"/>
    </row>
    <row r="32" spans="1:70" x14ac:dyDescent="0.35">
      <c r="F32" s="43" t="s">
        <v>57</v>
      </c>
      <c r="G32" s="417"/>
      <c r="H32" s="2"/>
      <c r="I32" s="399"/>
      <c r="J32" s="399"/>
      <c r="K32" s="399"/>
      <c r="M32" s="5"/>
      <c r="N32" s="5"/>
      <c r="O32" s="402"/>
      <c r="P32" s="5"/>
    </row>
    <row r="33" spans="6:16" x14ac:dyDescent="0.35">
      <c r="F33" s="44" t="s">
        <v>58</v>
      </c>
      <c r="G33" s="418"/>
      <c r="H33" s="2"/>
      <c r="I33" s="399"/>
      <c r="J33" s="399"/>
      <c r="K33" s="399"/>
      <c r="M33" s="5"/>
      <c r="N33" s="5"/>
      <c r="O33" s="402"/>
      <c r="P33" s="5"/>
    </row>
    <row r="34" spans="6:16" x14ac:dyDescent="0.35">
      <c r="F34" s="45" t="s">
        <v>59</v>
      </c>
      <c r="G34" s="419"/>
      <c r="H34" s="2"/>
      <c r="I34" s="399"/>
      <c r="J34" s="399"/>
      <c r="K34" s="399"/>
      <c r="M34" s="5"/>
      <c r="N34" s="5"/>
      <c r="O34" s="402"/>
      <c r="P34" s="5"/>
    </row>
  </sheetData>
  <mergeCells count="36">
    <mergeCell ref="T15:T16"/>
    <mergeCell ref="U15:U16"/>
    <mergeCell ref="V15:V16"/>
    <mergeCell ref="F23:F24"/>
    <mergeCell ref="H23:K23"/>
    <mergeCell ref="P15:R15"/>
    <mergeCell ref="L18:M18"/>
    <mergeCell ref="M17:N17"/>
    <mergeCell ref="L19:M19"/>
    <mergeCell ref="S15:S16"/>
    <mergeCell ref="A12:D12"/>
    <mergeCell ref="F12:V12"/>
    <mergeCell ref="AG13:AY13"/>
    <mergeCell ref="BA13:BT13"/>
    <mergeCell ref="A14:D14"/>
    <mergeCell ref="F14:H14"/>
    <mergeCell ref="L14:N14"/>
    <mergeCell ref="P14:R14"/>
    <mergeCell ref="S14:V14"/>
    <mergeCell ref="A15:A16"/>
    <mergeCell ref="B15:B16"/>
    <mergeCell ref="D15:D16"/>
    <mergeCell ref="F15:H15"/>
    <mergeCell ref="L15:N15"/>
    <mergeCell ref="A6:D6"/>
    <mergeCell ref="F6:V6"/>
    <mergeCell ref="A8:D8"/>
    <mergeCell ref="F8:V8"/>
    <mergeCell ref="A10:D10"/>
    <mergeCell ref="F10:V10"/>
    <mergeCell ref="A1:D4"/>
    <mergeCell ref="F1:T4"/>
    <mergeCell ref="U1:V1"/>
    <mergeCell ref="U4:V4"/>
    <mergeCell ref="U2:W2"/>
    <mergeCell ref="U3:W3"/>
  </mergeCells>
  <conditionalFormatting sqref="N17:O19">
    <cfRule type="containsText" dxfId="103" priority="1" operator="containsText" text="E">
      <formula>NOT(ISERROR(SEARCH("E",N17)))</formula>
    </cfRule>
    <cfRule type="containsText" dxfId="102" priority="2" operator="containsText" text="M">
      <formula>NOT(ISERROR(SEARCH("M",N17)))</formula>
    </cfRule>
    <cfRule type="containsText" dxfId="101" priority="3" operator="containsText" text="A">
      <formula>NOT(ISERROR(SEARCH("A",N17)))</formula>
    </cfRule>
    <cfRule type="containsText" dxfId="100" priority="4" operator="containsText" text="B">
      <formula>NOT(ISERROR(SEARCH("B",N17)))</formula>
    </cfRule>
  </conditionalFormatting>
  <dataValidations disablePrompts="1" count="2">
    <dataValidation type="list" allowBlank="1" showInputMessage="1" showErrorMessage="1" sqref="L20:O20">
      <formula1>#REF!</formula1>
    </dataValidation>
    <dataValidation type="list" allowBlank="1" showInputMessage="1" showErrorMessage="1" sqref="P20:Q20">
      <formula1>#REF!</formula1>
    </dataValidation>
  </dataValidations>
  <pageMargins left="0.7" right="0.7" top="0.75" bottom="0.75" header="0.3" footer="0.3"/>
  <pageSetup scale="1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9"/>
  <sheetViews>
    <sheetView showGridLines="0" view="pageBreakPreview" topLeftCell="O18" zoomScale="80" zoomScaleNormal="85" zoomScaleSheetLayoutView="80" workbookViewId="0">
      <selection activeCell="R18" sqref="R18"/>
    </sheetView>
  </sheetViews>
  <sheetFormatPr baseColWidth="10" defaultColWidth="11.453125" defaultRowHeight="14" x14ac:dyDescent="0.35"/>
  <cols>
    <col min="1" max="1" width="41.26953125" style="2" customWidth="1"/>
    <col min="2" max="5" width="40.453125" style="2" customWidth="1"/>
    <col min="6" max="7" width="27" style="5" customWidth="1"/>
    <col min="8" max="9" width="19" style="5" customWidth="1"/>
    <col min="10" max="11" width="26.7265625" style="5" customWidth="1"/>
    <col min="12" max="12" width="17.7265625" style="5" customWidth="1"/>
    <col min="13" max="14" width="28" style="2" customWidth="1"/>
    <col min="15" max="15" width="19.81640625" style="2" customWidth="1"/>
    <col min="16" max="16" width="42.7265625" style="2" customWidth="1"/>
    <col min="17" max="17" width="26.81640625" style="2" customWidth="1"/>
    <col min="18" max="18" width="36.453125" style="5" customWidth="1"/>
    <col min="19" max="19" width="255.453125" style="2" customWidth="1"/>
    <col min="20" max="20" width="32.26953125" style="2" customWidth="1"/>
    <col min="21" max="21" width="46" style="2" customWidth="1"/>
    <col min="22" max="22" width="30.453125" style="2" customWidth="1"/>
    <col min="23" max="23" width="36" style="2" hidden="1" customWidth="1"/>
    <col min="24" max="24" width="0" style="2" hidden="1" customWidth="1"/>
    <col min="25" max="71" width="11.453125" style="2" hidden="1" customWidth="1"/>
    <col min="72" max="72" width="11.453125" style="2" customWidth="1"/>
    <col min="73" max="16384" width="11.453125" style="2"/>
  </cols>
  <sheetData>
    <row r="1" spans="1:71" ht="21" customHeight="1" x14ac:dyDescent="0.35">
      <c r="A1" s="1050"/>
      <c r="B1" s="1050"/>
      <c r="C1" s="1050"/>
      <c r="D1" s="1050"/>
      <c r="E1" s="79"/>
      <c r="F1" s="1051" t="s">
        <v>0</v>
      </c>
      <c r="G1" s="1052"/>
      <c r="H1" s="1052"/>
      <c r="I1" s="1052"/>
      <c r="J1" s="1052"/>
      <c r="K1" s="1052"/>
      <c r="L1" s="1052"/>
      <c r="M1" s="1052"/>
      <c r="N1" s="1052"/>
      <c r="O1" s="1052"/>
      <c r="P1" s="1052"/>
      <c r="Q1" s="1052"/>
      <c r="R1" s="1052"/>
      <c r="S1" s="1053"/>
      <c r="T1" s="1060" t="s">
        <v>1</v>
      </c>
      <c r="U1" s="1061"/>
      <c r="V1" s="1"/>
      <c r="W1" s="1"/>
    </row>
    <row r="2" spans="1:71" ht="22.5" customHeight="1" x14ac:dyDescent="0.35">
      <c r="A2" s="1050"/>
      <c r="B2" s="1050"/>
      <c r="C2" s="1050"/>
      <c r="D2" s="1050"/>
      <c r="E2" s="80"/>
      <c r="F2" s="1054"/>
      <c r="G2" s="1055"/>
      <c r="H2" s="1055"/>
      <c r="I2" s="1055"/>
      <c r="J2" s="1055"/>
      <c r="K2" s="1055"/>
      <c r="L2" s="1055"/>
      <c r="M2" s="1055"/>
      <c r="N2" s="1055"/>
      <c r="O2" s="1055"/>
      <c r="P2" s="1055"/>
      <c r="Q2" s="1055"/>
      <c r="R2" s="1055"/>
      <c r="S2" s="1056"/>
      <c r="T2" s="1060" t="s">
        <v>372</v>
      </c>
      <c r="U2" s="1061"/>
      <c r="V2" s="1"/>
      <c r="W2" s="1"/>
    </row>
    <row r="3" spans="1:71" ht="21" customHeight="1" x14ac:dyDescent="0.35">
      <c r="A3" s="1050"/>
      <c r="B3" s="1050"/>
      <c r="C3" s="1050"/>
      <c r="D3" s="1050"/>
      <c r="E3" s="80"/>
      <c r="F3" s="1054"/>
      <c r="G3" s="1055"/>
      <c r="H3" s="1055"/>
      <c r="I3" s="1055"/>
      <c r="J3" s="1055"/>
      <c r="K3" s="1055"/>
      <c r="L3" s="1055"/>
      <c r="M3" s="1055"/>
      <c r="N3" s="1055"/>
      <c r="O3" s="1055"/>
      <c r="P3" s="1055"/>
      <c r="Q3" s="1055"/>
      <c r="R3" s="1055"/>
      <c r="S3" s="1056"/>
      <c r="T3" s="1060" t="s">
        <v>373</v>
      </c>
      <c r="U3" s="1061"/>
      <c r="V3" s="1"/>
      <c r="W3" s="1"/>
    </row>
    <row r="4" spans="1:71" ht="20.25" customHeight="1" x14ac:dyDescent="0.35">
      <c r="A4" s="1050"/>
      <c r="B4" s="1050"/>
      <c r="C4" s="1050"/>
      <c r="D4" s="1050"/>
      <c r="E4" s="81"/>
      <c r="F4" s="1057"/>
      <c r="G4" s="1058"/>
      <c r="H4" s="1058"/>
      <c r="I4" s="1058"/>
      <c r="J4" s="1058"/>
      <c r="K4" s="1058"/>
      <c r="L4" s="1058"/>
      <c r="M4" s="1058"/>
      <c r="N4" s="1058"/>
      <c r="O4" s="1058"/>
      <c r="P4" s="1058"/>
      <c r="Q4" s="1058"/>
      <c r="R4" s="1058"/>
      <c r="S4" s="1059"/>
      <c r="T4" s="1060" t="s">
        <v>2</v>
      </c>
      <c r="U4" s="1061"/>
      <c r="V4" s="1"/>
      <c r="W4" s="1"/>
    </row>
    <row r="5" spans="1:71" ht="8.25" customHeight="1" x14ac:dyDescent="0.35">
      <c r="B5" s="3"/>
      <c r="C5" s="3"/>
      <c r="D5" s="3"/>
      <c r="E5" s="3"/>
      <c r="F5" s="4"/>
      <c r="G5" s="4"/>
      <c r="H5" s="4"/>
      <c r="I5" s="4"/>
      <c r="J5" s="4"/>
      <c r="K5" s="4"/>
      <c r="L5" s="4"/>
      <c r="M5" s="4"/>
      <c r="N5" s="4"/>
      <c r="O5" s="4"/>
      <c r="P5" s="4"/>
      <c r="V5" s="6"/>
      <c r="W5" s="6"/>
    </row>
    <row r="6" spans="1:71" x14ac:dyDescent="0.35">
      <c r="A6" s="1030" t="s">
        <v>3</v>
      </c>
      <c r="B6" s="1030"/>
      <c r="C6" s="1030"/>
      <c r="D6" s="1030"/>
      <c r="E6" s="82"/>
      <c r="F6" s="1044" t="str">
        <f>+[18]IdentRiesgo!B2</f>
        <v>GESTION DE RECURSOS INFORMATICOS Y TECNOLOGICOS</v>
      </c>
      <c r="G6" s="1045"/>
      <c r="H6" s="1045"/>
      <c r="I6" s="1045"/>
      <c r="J6" s="1045"/>
      <c r="K6" s="1045"/>
      <c r="L6" s="1045"/>
      <c r="M6" s="1045"/>
      <c r="N6" s="1045"/>
      <c r="O6" s="1045"/>
      <c r="P6" s="1045"/>
      <c r="Q6" s="1045"/>
      <c r="R6" s="1045"/>
      <c r="S6" s="1045"/>
      <c r="T6" s="1045"/>
      <c r="U6" s="1046"/>
      <c r="V6" s="6"/>
      <c r="W6" s="6"/>
    </row>
    <row r="7" spans="1:71" ht="6.75" customHeight="1" x14ac:dyDescent="0.35">
      <c r="B7" s="3"/>
      <c r="C7" s="3"/>
      <c r="D7" s="3"/>
      <c r="E7" s="3"/>
      <c r="F7" s="7"/>
      <c r="G7" s="7"/>
      <c r="H7" s="7"/>
      <c r="I7" s="7"/>
      <c r="J7" s="7"/>
      <c r="K7" s="7"/>
      <c r="L7" s="7"/>
      <c r="M7" s="7"/>
      <c r="N7" s="7"/>
      <c r="O7" s="7"/>
      <c r="P7" s="7"/>
      <c r="Q7" s="8"/>
      <c r="R7" s="8"/>
      <c r="S7" s="8"/>
      <c r="T7" s="8"/>
      <c r="U7" s="8"/>
      <c r="V7" s="6"/>
      <c r="W7" s="6"/>
    </row>
    <row r="8" spans="1:71" ht="39.75" customHeight="1" x14ac:dyDescent="0.35">
      <c r="A8" s="1030" t="s">
        <v>4</v>
      </c>
      <c r="B8" s="1030"/>
      <c r="C8" s="1030"/>
      <c r="D8" s="1030"/>
      <c r="E8" s="82"/>
      <c r="F8" s="1047" t="str">
        <f>+[18]IdentRiesgo!B3</f>
        <v>Servir como apoyo a todos los procesos del instituto, en cuanto a la implementación, mantenimiento y soporte técnico de los sistemas de información tanto misionales como de apoyo administrativo, garantizando a los usuarios el acceso a las herramientas informáticas a través de una infraestructura tecnológica debidamente actualizada y soportada, cumpliendo con los requisitos de oportunidad, disponibilidad y seguridad.</v>
      </c>
      <c r="G8" s="1048"/>
      <c r="H8" s="1048"/>
      <c r="I8" s="1048"/>
      <c r="J8" s="1048"/>
      <c r="K8" s="1048"/>
      <c r="L8" s="1048"/>
      <c r="M8" s="1048"/>
      <c r="N8" s="1048"/>
      <c r="O8" s="1048"/>
      <c r="P8" s="1048"/>
      <c r="Q8" s="1048"/>
      <c r="R8" s="1048"/>
      <c r="S8" s="1048"/>
      <c r="T8" s="1048"/>
      <c r="U8" s="1049"/>
      <c r="V8" s="9"/>
      <c r="W8" s="9"/>
    </row>
    <row r="9" spans="1:71" ht="6.75" customHeight="1" x14ac:dyDescent="0.35">
      <c r="B9" s="10"/>
      <c r="C9" s="10"/>
      <c r="D9" s="10"/>
      <c r="E9" s="10"/>
      <c r="F9" s="11"/>
      <c r="G9" s="11"/>
      <c r="H9" s="11"/>
      <c r="I9" s="11"/>
      <c r="J9" s="11"/>
      <c r="K9" s="11"/>
      <c r="L9" s="11"/>
      <c r="M9" s="11"/>
      <c r="N9" s="11"/>
      <c r="O9" s="11"/>
      <c r="P9" s="11"/>
      <c r="Q9" s="8"/>
      <c r="R9" s="8"/>
      <c r="S9" s="8"/>
      <c r="T9" s="8"/>
      <c r="U9" s="8"/>
      <c r="V9" s="6"/>
      <c r="W9" s="6"/>
    </row>
    <row r="10" spans="1:71" x14ac:dyDescent="0.35">
      <c r="A10" s="1030" t="s">
        <v>5</v>
      </c>
      <c r="B10" s="1030"/>
      <c r="C10" s="1030"/>
      <c r="D10" s="1030"/>
      <c r="E10" s="82"/>
      <c r="F10" s="1031" t="s">
        <v>66</v>
      </c>
      <c r="G10" s="1032"/>
      <c r="H10" s="1032"/>
      <c r="I10" s="1032"/>
      <c r="J10" s="1032"/>
      <c r="K10" s="1032"/>
      <c r="L10" s="1032"/>
      <c r="M10" s="1032"/>
      <c r="N10" s="1032"/>
      <c r="O10" s="1032"/>
      <c r="P10" s="1032"/>
      <c r="Q10" s="1032"/>
      <c r="R10" s="1032"/>
      <c r="S10" s="1032"/>
      <c r="T10" s="1032"/>
      <c r="U10" s="1033"/>
      <c r="V10" s="12"/>
      <c r="W10" s="12"/>
    </row>
    <row r="11" spans="1:71" ht="5.25" customHeight="1" x14ac:dyDescent="0.35">
      <c r="B11" s="3"/>
      <c r="C11" s="3"/>
      <c r="D11" s="3"/>
      <c r="E11" s="3"/>
      <c r="F11" s="13"/>
      <c r="G11" s="13"/>
      <c r="H11" s="13"/>
      <c r="I11" s="13"/>
      <c r="J11" s="13"/>
      <c r="K11" s="13"/>
      <c r="L11" s="13"/>
      <c r="M11" s="13"/>
      <c r="N11" s="13"/>
      <c r="O11" s="13"/>
      <c r="P11" s="13"/>
      <c r="Q11" s="8"/>
      <c r="R11" s="8"/>
      <c r="S11" s="8"/>
      <c r="T11" s="8"/>
      <c r="U11" s="8"/>
      <c r="V11" s="6"/>
      <c r="W11" s="6"/>
    </row>
    <row r="12" spans="1:71" x14ac:dyDescent="0.35">
      <c r="A12" s="1030" t="s">
        <v>6</v>
      </c>
      <c r="B12" s="1030"/>
      <c r="C12" s="1030"/>
      <c r="D12" s="1030"/>
      <c r="E12" s="82"/>
      <c r="F12" s="1031" t="s">
        <v>95</v>
      </c>
      <c r="G12" s="1032"/>
      <c r="H12" s="1032"/>
      <c r="I12" s="1032"/>
      <c r="J12" s="1032"/>
      <c r="K12" s="1032"/>
      <c r="L12" s="1032"/>
      <c r="M12" s="1032"/>
      <c r="N12" s="1032"/>
      <c r="O12" s="1032"/>
      <c r="P12" s="1032"/>
      <c r="Q12" s="1032"/>
      <c r="R12" s="1032"/>
      <c r="S12" s="1032"/>
      <c r="T12" s="1032"/>
      <c r="U12" s="1033"/>
      <c r="V12" s="12"/>
      <c r="W12" s="12"/>
      <c r="Z12" s="2" t="s">
        <v>7</v>
      </c>
    </row>
    <row r="13" spans="1:71" x14ac:dyDescent="0.35">
      <c r="B13" s="3"/>
      <c r="C13" s="3"/>
      <c r="D13" s="3"/>
      <c r="E13" s="3"/>
      <c r="F13" s="14"/>
      <c r="G13" s="14"/>
      <c r="H13" s="15"/>
      <c r="I13" s="15"/>
      <c r="J13" s="15"/>
      <c r="K13" s="15"/>
      <c r="L13" s="15"/>
      <c r="M13" s="7"/>
      <c r="N13" s="7"/>
      <c r="O13" s="7"/>
      <c r="P13" s="7"/>
      <c r="Q13" s="7"/>
      <c r="R13" s="15"/>
      <c r="S13" s="7"/>
      <c r="V13" s="6"/>
      <c r="W13" s="6"/>
      <c r="Z13" s="2" t="s">
        <v>8</v>
      </c>
      <c r="AF13" s="1034" t="s">
        <v>9</v>
      </c>
      <c r="AG13" s="1034"/>
      <c r="AH13" s="1034"/>
      <c r="AI13" s="1034"/>
      <c r="AJ13" s="1034"/>
      <c r="AK13" s="1034"/>
      <c r="AL13" s="1034"/>
      <c r="AM13" s="1034"/>
      <c r="AN13" s="1034"/>
      <c r="AO13" s="1034"/>
      <c r="AP13" s="1034"/>
      <c r="AQ13" s="1034"/>
      <c r="AR13" s="1034"/>
      <c r="AS13" s="1034"/>
      <c r="AT13" s="1034"/>
      <c r="AU13" s="1034"/>
      <c r="AV13" s="1034"/>
      <c r="AW13" s="1034"/>
      <c r="AX13" s="1034"/>
      <c r="AZ13" s="1034" t="s">
        <v>10</v>
      </c>
      <c r="BA13" s="1034"/>
      <c r="BB13" s="1034"/>
      <c r="BC13" s="1034"/>
      <c r="BD13" s="1034"/>
      <c r="BE13" s="1034"/>
      <c r="BF13" s="1034"/>
      <c r="BG13" s="1034"/>
      <c r="BH13" s="1034"/>
      <c r="BI13" s="1034"/>
      <c r="BJ13" s="1034"/>
      <c r="BK13" s="1034"/>
      <c r="BL13" s="1034"/>
      <c r="BM13" s="1034"/>
      <c r="BN13" s="1034"/>
      <c r="BO13" s="1034"/>
      <c r="BP13" s="1034"/>
      <c r="BQ13" s="1034"/>
      <c r="BR13" s="1034"/>
      <c r="BS13" s="1034"/>
    </row>
    <row r="14" spans="1:71" s="17" customFormat="1" ht="15" customHeight="1" x14ac:dyDescent="0.35">
      <c r="A14" s="1035" t="s">
        <v>11</v>
      </c>
      <c r="B14" s="1036"/>
      <c r="C14" s="1036"/>
      <c r="D14" s="1037"/>
      <c r="E14" s="83"/>
      <c r="F14" s="1038" t="s">
        <v>12</v>
      </c>
      <c r="G14" s="1038"/>
      <c r="H14" s="1038"/>
      <c r="I14" s="16"/>
      <c r="J14" s="16"/>
      <c r="K14" s="78"/>
      <c r="L14" s="1035" t="s">
        <v>14</v>
      </c>
      <c r="M14" s="1037"/>
      <c r="N14" s="63"/>
      <c r="O14" s="1042" t="s">
        <v>15</v>
      </c>
      <c r="P14" s="1042"/>
      <c r="Q14" s="1042"/>
      <c r="R14" s="1042" t="s">
        <v>16</v>
      </c>
      <c r="S14" s="1042"/>
      <c r="T14" s="1042"/>
      <c r="U14" s="1042"/>
    </row>
    <row r="15" spans="1:71" s="17" customFormat="1" ht="14.25" customHeight="1" x14ac:dyDescent="0.35">
      <c r="A15" s="1040" t="s">
        <v>17</v>
      </c>
      <c r="B15" s="1040" t="s">
        <v>18</v>
      </c>
      <c r="C15" s="64"/>
      <c r="D15" s="1040" t="s">
        <v>19</v>
      </c>
      <c r="E15" s="64"/>
      <c r="F15" s="1018" t="s">
        <v>20</v>
      </c>
      <c r="G15" s="1018"/>
      <c r="H15" s="1018"/>
      <c r="I15" s="67"/>
      <c r="J15" s="18"/>
      <c r="K15" s="64"/>
      <c r="L15" s="1023" t="s">
        <v>21</v>
      </c>
      <c r="M15" s="1025"/>
      <c r="N15" s="68"/>
      <c r="O15" s="1023" t="s">
        <v>22</v>
      </c>
      <c r="P15" s="1024"/>
      <c r="Q15" s="1025"/>
      <c r="R15" s="1018" t="s">
        <v>23</v>
      </c>
      <c r="S15" s="1018" t="s">
        <v>24</v>
      </c>
      <c r="T15" s="1018" t="s">
        <v>5</v>
      </c>
      <c r="U15" s="1018" t="s">
        <v>25</v>
      </c>
    </row>
    <row r="16" spans="1:71" s="17" customFormat="1" ht="63" customHeight="1" x14ac:dyDescent="0.35">
      <c r="A16" s="1043"/>
      <c r="B16" s="1043"/>
      <c r="C16" s="66" t="s">
        <v>96</v>
      </c>
      <c r="D16" s="1043"/>
      <c r="E16" s="66" t="s">
        <v>97</v>
      </c>
      <c r="F16" s="18" t="s">
        <v>26</v>
      </c>
      <c r="G16" s="67" t="s">
        <v>96</v>
      </c>
      <c r="H16" s="18" t="s">
        <v>10</v>
      </c>
      <c r="I16" s="67" t="s">
        <v>96</v>
      </c>
      <c r="J16" s="18" t="s">
        <v>27</v>
      </c>
      <c r="K16" s="65" t="s">
        <v>99</v>
      </c>
      <c r="L16" s="18" t="s">
        <v>101</v>
      </c>
      <c r="M16" s="20" t="s">
        <v>27</v>
      </c>
      <c r="N16" s="66" t="s">
        <v>100</v>
      </c>
      <c r="O16" s="18" t="s">
        <v>28</v>
      </c>
      <c r="P16" s="18" t="s">
        <v>24</v>
      </c>
      <c r="Q16" s="18" t="s">
        <v>29</v>
      </c>
      <c r="R16" s="1018"/>
      <c r="S16" s="1018"/>
      <c r="T16" s="1018"/>
      <c r="U16" s="1018"/>
    </row>
    <row r="17" spans="1:69" ht="409.6" customHeight="1" x14ac:dyDescent="0.35">
      <c r="A17" s="85" t="s">
        <v>102</v>
      </c>
      <c r="B17" s="86" t="s">
        <v>103</v>
      </c>
      <c r="C17" s="87" t="s">
        <v>104</v>
      </c>
      <c r="D17" s="88" t="s">
        <v>105</v>
      </c>
      <c r="E17" s="89" t="s">
        <v>106</v>
      </c>
      <c r="F17" s="90">
        <v>3</v>
      </c>
      <c r="G17" s="91" t="s">
        <v>107</v>
      </c>
      <c r="H17" s="92">
        <v>4</v>
      </c>
      <c r="I17" s="93" t="s">
        <v>108</v>
      </c>
      <c r="J17" s="94" t="s">
        <v>53</v>
      </c>
      <c r="K17" s="803" t="s">
        <v>109</v>
      </c>
      <c r="L17" s="810" t="s">
        <v>26</v>
      </c>
      <c r="M17" s="804" t="s">
        <v>48</v>
      </c>
      <c r="N17" s="809" t="s">
        <v>110</v>
      </c>
      <c r="O17" s="95">
        <v>2017</v>
      </c>
      <c r="P17" s="96" t="s">
        <v>111</v>
      </c>
      <c r="Q17" s="1005" t="s">
        <v>630</v>
      </c>
      <c r="R17" s="97">
        <v>42947</v>
      </c>
      <c r="S17" s="791" t="s">
        <v>470</v>
      </c>
      <c r="T17" s="98" t="s">
        <v>112</v>
      </c>
      <c r="U17" s="23" t="s">
        <v>113</v>
      </c>
      <c r="W17" s="28" t="str">
        <f>IF(AND(F17=1,H17=5),$H$23,IF(AND(F17=1,H17=10),$J$23,IF(AND(F17=1,H17=20),#REF!," ")))</f>
        <v xml:space="preserve"> </v>
      </c>
      <c r="X17" s="28" t="str">
        <f>IF(AND(F17=2,H17=5),$H$24,IF(AND(F17=2,H17=10),$J$24,IF(AND(F17=2,H17=20),#REF!," ")))</f>
        <v xml:space="preserve"> </v>
      </c>
      <c r="Y17" s="28" t="str">
        <f>IF(AND(F17=3,H17=5),$H$25,IF(AND(F17=3,H17=10),$J$25,IF(AND(F17=3,H17=20),#REF!," ")))</f>
        <v xml:space="preserve"> </v>
      </c>
      <c r="Z17" s="28" t="str">
        <f>IF(AND(F17=4,H17=5),$H$26,IF(AND(F17=4,H17=10),$J$26,IF(AND(F17=4,H17=20),#REF!," ")))</f>
        <v xml:space="preserve"> </v>
      </c>
      <c r="AA17" s="28" t="str">
        <f>IF(AND(F17=5,H17=5),$H$27,IF(AND(F17=5,H17=10),$J$27,IF(AND(F17=5,H17=20),#REF!," ")))</f>
        <v xml:space="preserve"> </v>
      </c>
      <c r="AC17" s="29" t="s">
        <v>31</v>
      </c>
      <c r="AD17" s="28" t="str">
        <f>IF(AND(L17&gt;0,'[18]EvaluaciónRiesgoCorrup R1'!$F$11&gt;75,F17=1,H17=5),$H$23,IF(AND(L17&gt;0,'[18]EvaluaciónRiesgoCorrup R1'!$F$11&gt;75,F17=1,H17=10),$J$23,IF(AND(L17&gt;0,'[18]EvaluaciónRiesgoCorrup R1'!$F$11&gt;75,F17=1,H17=20),#REF!," ")))</f>
        <v xml:space="preserve"> </v>
      </c>
      <c r="AE17" s="28" t="str">
        <f>IF(AND(L17&gt;0,'[18]EvaluaciónRiesgoCorrup R1'!$F$11&gt;75,F17=2,H17=5),$H$23,IF(AND(L17&gt;0,'[18]EvaluaciónRiesgoCorrup R1'!$F$11&gt;75,F17=2,H17=10),$J$23,IF(AND(L17&gt;0,'[18]EvaluaciónRiesgoCorrup R1'!$F$11&gt;75,F17=2,H17=20),#REF!," ")))</f>
        <v xml:space="preserve"> </v>
      </c>
      <c r="AF17" s="28" t="str">
        <f>IF(AND(L17&gt;0,'[18]EvaluaciónRiesgoCorrup R1'!$F$11&gt;75,F17=3,H17=5),$H$23,IF(AND(L17&gt;0,'[18]EvaluaciónRiesgoCorrup R1'!$F$11&gt;75,F17=3,H17=10),$J$23,IF(AND(L17&gt;0,'[18]EvaluaciónRiesgoCorrup R1'!$F$11&gt;75,F17=3,H17=20),#REF!," ")))</f>
        <v xml:space="preserve"> </v>
      </c>
      <c r="AG17" s="28" t="str">
        <f>IF(AND(L17&gt;0,'[18]EvaluaciónRiesgoCorrup R1'!$F$11&gt;75,F17=4,H17=5),$H$24,IF(AND(L17&gt;0,'[18]EvaluaciónRiesgoCorrup R1'!$F$11&gt;75,F17=4,H17=10),$J$24,IF(AND(L17&gt;0,'[18]EvaluaciónRiesgoCorrup R1'!$F$11&gt;75,F17=4,H17=20),#REF!," ")))</f>
        <v xml:space="preserve"> </v>
      </c>
      <c r="AH17" s="28" t="str">
        <f>IF(AND(L17&gt;0,'[18]EvaluaciónRiesgoCorrup R1'!$F$11&gt;75,F17=5,H17=5),$H$25,IF(AND(L17&gt;0,'[18]EvaluaciónRiesgoCorrup R1'!$F$11&gt;75,F17=5,H17=10),$J$25,IF(AND(L17&gt;0,'[18]EvaluaciónRiesgoCorrup R1'!$F$11&gt;75,F17=5,H17=20),#REF!," ")))</f>
        <v xml:space="preserve"> </v>
      </c>
      <c r="AI17" s="29" t="s">
        <v>32</v>
      </c>
      <c r="AJ17" s="28" t="str">
        <f>IF(AND(L17&gt;0,'[18]EvaluaciónRiesgoCorrup R1'!$F$11&gt;50,'[18]EvaluaciónRiesgoCorrup R1'!$F$11&lt;76,F17=1,H17=5),$H$23,IF(AND(L17&gt;0,'[18]EvaluaciónRiesgoCorrup R1'!$F$11&gt;50,'[18]EvaluaciónRiesgoCorrup R1'!$F$11&lt;76,F17=1,H17=10),$J$23,IF(AND(L17&gt;0,'[18]EvaluaciónRiesgoCorrup R1'!$F$11&gt;50,'[18]EvaluaciónRiesgoCorrup R1'!$F$11&lt;76,F17=1,H17=20),#REF!," ")))</f>
        <v xml:space="preserve"> </v>
      </c>
      <c r="AK17" s="28" t="str">
        <f>IF(AND(L17&gt;0,'[18]EvaluaciónRiesgoCorrup R1'!$F$11&gt;50,'[18]EvaluaciónRiesgoCorrup R1'!$F$11&lt;76,F17=2,H17=5),$H$23,IF(AND(L17&gt;0,'[18]EvaluaciónRiesgoCorrup R1'!$F$11&gt;50,'[18]EvaluaciónRiesgoCorrup R1'!$F$11&lt;76,F17=2,H17=10),$J$23,IF(AND(L17&gt;0,'[18]EvaluaciónRiesgoCorrup R1'!$F$11&gt;50,'[18]EvaluaciónRiesgoCorrup R1'!$F$11&lt;76,F17=2,H17=20),#REF!," ")))</f>
        <v xml:space="preserve"> </v>
      </c>
      <c r="AL17" s="28" t="str">
        <f>IF(AND(L17&gt;0,'[18]EvaluaciónRiesgoCorrup R1'!$F$11&gt;50,'[18]EvaluaciónRiesgoCorrup R1'!$F$11&lt;76,F17=3,H17=5),$H$24,IF(AND(L17&gt;0,'[18]EvaluaciónRiesgoCorrup R1'!$F$11&gt;50,'[18]EvaluaciónRiesgoCorrup R1'!$F$11&lt;76,F17=3,H17=10),$J$24,IF(AND(L17&gt;0,'[18]EvaluaciónRiesgoCorrup R1'!$F$11&gt;50,'[18]EvaluaciónRiesgoCorrup R1'!$F$11&lt;76,F17=3,H17=20),#REF!," ")))</f>
        <v xml:space="preserve"> </v>
      </c>
      <c r="AM17" s="28" t="str">
        <f>IF(AND(L17&gt;0,'[18]EvaluaciónRiesgoCorrup R1'!$F$11&gt;50,'[18]EvaluaciónRiesgoCorrup R1'!$F$11&lt;76,F17=4,H17=5),$H$25,IF(AND(L17&gt;0,'[18]EvaluaciónRiesgoCorrup R1'!$F$11&gt;50,'[18]EvaluaciónRiesgoCorrup R1'!$F$11&lt;76,F17=4,H17=10),$J$25,IF(AND(L17&gt;0,'[18]EvaluaciónRiesgoCorrup R1'!$F$11&gt;50,'[18]EvaluaciónRiesgoCorrup R1'!$F$11&lt;76,F17=4,H17=20),#REF!," ")))</f>
        <v xml:space="preserve"> </v>
      </c>
      <c r="AN17" s="28" t="str">
        <f>IF(AND(L17&gt;0,'[18]EvaluaciónRiesgoCorrup R1'!$F$11&gt;50,'[18]EvaluaciónRiesgoCorrup R1'!$F$11&lt;76,F17=5,H17=5),$H$26,IF(AND(L17&gt;0,'[18]EvaluaciónRiesgoCorrup R1'!$F$11&gt;50,'[18]EvaluaciónRiesgoCorrup R1'!$F$11&lt;76,F17=5,H17=10),$J$26,IF(AND(L17&gt;0,'[18]EvaluaciónRiesgoCorrup R1'!$F$11&gt;50,'[18]EvaluaciónRiesgoCorrup R1'!$F$11&lt;76,F17=5,H17=20),#REF!," ")))</f>
        <v xml:space="preserve"> </v>
      </c>
      <c r="AP17" s="29" t="s">
        <v>33</v>
      </c>
      <c r="AQ17" s="28" t="str">
        <f>IF(AND(L17&gt;0,'[18]EvaluaciónRiesgoCorrup R1'!$F$11&lt;51,F17=1,H17=5),$H$23,IF(AND(L17&gt;0,'[18]EvaluaciónRiesgoCorrup R1'!$F$11&lt;51,F17=1,H17=10),$J$23,IF(AND(L17&gt;0,'[18]EvaluaciónRiesgoCorrup R1'!$F$11&lt;51,F17=1,H17=20),#REF!," ")))</f>
        <v xml:space="preserve"> </v>
      </c>
      <c r="AR17" s="28" t="str">
        <f>IF(AND(L17&gt;0,'[18]EvaluaciónRiesgoCorrup R1'!$F$11&lt;51,F17=2,H17=5),$H$24,IF(AND(L17&gt;0,'[18]EvaluaciónRiesgoCorrup R1'!$F$11&lt;51,F17=2,H17=10),$J$24,IF(AND(L17&gt;0,'[18]EvaluaciónRiesgoCorrup R1'!$F$11&lt;51,F17=2,H17=20),#REF!," ")))</f>
        <v xml:space="preserve"> </v>
      </c>
      <c r="AS17" s="28" t="str">
        <f>IF(AND(L17&gt;0,'[18]EvaluaciónRiesgoCorrup R1'!$F$11&lt;51,F17=3,H17=5),$H$25,IF(AND(L17&gt;0,'[18]EvaluaciónRiesgoCorrup R1'!$F$11&lt;51,F17=3,H17=10),$J$25,IF(AND(L17&gt;0,'[18]EvaluaciónRiesgoCorrup R1'!$F$11&lt;51,F17=3,H17=20),#REF!," ")))</f>
        <v xml:space="preserve"> </v>
      </c>
      <c r="AT17" s="28" t="str">
        <f>IF(AND(L17&gt;0,'[18]EvaluaciónRiesgoCorrup R1'!$F$11&lt;51,F17=4,H17=5),$H$26,IF(AND(L17&gt;0,'[18]EvaluaciónRiesgoCorrup R1'!$F$11&lt;51,F17=4,H17=10),$J$26,IF(AND(L17&gt;0,'[18]EvaluaciónRiesgoCorrup R1'!$F$11&lt;51,F17=4,H17=20),#REF!," ")))</f>
        <v xml:space="preserve"> </v>
      </c>
      <c r="AU17" s="28" t="str">
        <f>IF(AND(L17&gt;0,'[18]EvaluaciónRiesgoCorrup R1'!$F$11&lt;51,F17=5,H17=5),$H$27,IF(AND(L17&gt;0,'[18]EvaluaciónRiesgoCorrup R1'!$F$11&lt;51,F17=5,H17=10),$J$27,IF(AND(L17&gt;0,'[18]EvaluaciónRiesgoCorrup R1'!$F$11&lt;51,F17=5,H17=20),#REF!," ")))</f>
        <v xml:space="preserve"> </v>
      </c>
      <c r="AX17" s="29" t="s">
        <v>31</v>
      </c>
      <c r="AY17" s="28" t="e">
        <f>IF(AND(#REF!&gt;0,'[18]EvaluaciónRiesgoCorrup R1'!$F$11&gt;75,F17=1,H17=5),$H$23,IF(AND(#REF!&gt;0,'[18]EvaluaciónRiesgoCorrup R1'!$F$11&gt;75,F17=1,H17=10),$H$23,IF(AND(#REF!&gt;0,'[18]EvaluaciónRiesgoCorrup R1'!$F$11&gt;75,F17=1,H17=20),$H$23," ")))</f>
        <v>#REF!</v>
      </c>
      <c r="AZ17" s="28" t="e">
        <f>IF(AND(#REF!&gt;0,'[18]EvaluaciónRiesgoCorrup R1'!$F$11&gt;75,F17=2,H17=5),$H$24,IF(AND(#REF!&gt;0,'[18]EvaluaciónRiesgoCorrup R1'!$F$11&gt;75,F17=2,H17=10),$H$24,IF(AND(#REF!&gt;0,'[18]EvaluaciónRiesgoCorrup R1'!$F$11&gt;75,F17=2,H17=20),$H$24," ")))</f>
        <v>#REF!</v>
      </c>
      <c r="BA17" s="28" t="e">
        <f>IF(AND(#REF!&gt;0,'[18]EvaluaciónRiesgoCorrup R1'!$F$11&gt;75,F17=3,H17=5),$H$25,IF(AND(#REF!&gt;0,'[18]EvaluaciónRiesgoCorrup R1'!$F$11&gt;75,F17=3,H17=10),$H$25,IF(AND(#REF!&gt;0,'[18]EvaluaciónRiesgoCorrup R1'!$F$11&gt;75,F17=3,H17=20),$H$25," ")))</f>
        <v>#REF!</v>
      </c>
      <c r="BB17" s="28" t="e">
        <f>IF(AND(#REF!&gt;0,'[18]EvaluaciónRiesgoCorrup R1'!$F$11&gt;75,F17=4,H17=5),$H$26,IF(AND(#REF!&gt;0,'[18]EvaluaciónRiesgoCorrup R1'!$F$11&gt;75,F17=4,H17=10),$H$26,IF(AND(#REF!&gt;0,'[18]EvaluaciónRiesgoCorrup R1'!$F$11&gt;75,F17=4,H17=20),$H$26," ")))</f>
        <v>#REF!</v>
      </c>
      <c r="BC17" s="28" t="e">
        <f>IF(AND(#REF!&gt;0,'[18]EvaluaciónRiesgoCorrup R1'!$F$11&gt;75,F17=5,H17=5),$H$27,IF(AND(#REF!&gt;0,'[18]EvaluaciónRiesgoCorrup R1'!$F$11&gt;75,F17=5,H17=10),$H$27,IF(AND(#REF!&gt;0,'[18]EvaluaciónRiesgoCorrup R1'!$F$11&gt;75,F17=5,H17=20),$H$27," ")))</f>
        <v>#REF!</v>
      </c>
      <c r="BE17" s="29" t="s">
        <v>32</v>
      </c>
      <c r="BF17" s="28" t="e">
        <f>IF(AND(#REF!&gt;0,'[18]EvaluaciónRiesgoCorrup R1'!$F$11&gt;50,'[18]EvaluaciónRiesgoCorrup R1'!$F$11&lt;76,F17=1,H17=5),$H$23,IF(AND(#REF!&gt;0,'[18]EvaluaciónRiesgoCorrup R1'!$F$11&gt;50,'[18]EvaluaciónRiesgoCorrup R1'!$F$11&lt;76,F17=1,H17=10),$H$23,IF(AND(#REF!&gt;0,'[18]EvaluaciónRiesgoCorrup R1'!$F$11&gt;50,'[18]EvaluaciónRiesgoCorrup R1'!$F$11&lt;76,F17=1,H17=20),$J$23," ")))</f>
        <v>#REF!</v>
      </c>
      <c r="BG17" s="28" t="e">
        <f>IF(AND(#REF!&gt;0,'[18]EvaluaciónRiesgoCorrup R1'!$F$11&gt;50,'[18]EvaluaciónRiesgoCorrup R1'!$F$11&lt;76,F17=2,H17=5),$H$24,IF(AND(#REF!&gt;0,'[18]EvaluaciónRiesgoCorrup R1'!$F$11&gt;50,'[18]EvaluaciónRiesgoCorrup R1'!$F$11&lt;76,F17=2,H17=10),$H$24,IF(AND(#REF!&gt;0,'[18]EvaluaciónRiesgoCorrup R1'!$F$11&gt;50,'[18]EvaluaciónRiesgoCorrup R1'!$F$11&lt;76,F17=2,H17=20),$J$24," ")))</f>
        <v>#REF!</v>
      </c>
      <c r="BH17" s="28" t="e">
        <f>IF(AND(#REF!&gt;0,'[18]EvaluaciónRiesgoCorrup R1'!$F$11&gt;50,'[18]EvaluaciónRiesgoCorrup R1'!$F$11&lt;76,F17=3,H17=5),$H$25,IF(AND(#REF!&gt;0,'[18]EvaluaciónRiesgoCorrup R1'!$F$11&gt;50,'[18]EvaluaciónRiesgoCorrup R1'!$F$11&lt;76,F17=3,H17=10),$H$25,IF(AND(#REF!&gt;0,'[18]EvaluaciónRiesgoCorrup R1'!$F$11&gt;50,'[18]EvaluaciónRiesgoCorrup R1'!$F$11&lt;76,F17=3,H17=20),$J$25," ")))</f>
        <v>#REF!</v>
      </c>
      <c r="BI17" s="28" t="e">
        <f>IF(AND(#REF!&gt;0,'[18]EvaluaciónRiesgoCorrup R1'!$F$11&gt;50,'[18]EvaluaciónRiesgoCorrup R1'!$F$11&lt;76,F17=4,H17=5),$H$26,IF(AND(#REF!&gt;0,'[18]EvaluaciónRiesgoCorrup R1'!$F$11&gt;50,'[18]EvaluaciónRiesgoCorrup R1'!$F$11&lt;76,F17=4,H17=10),$H$26,IF(AND(#REF!&gt;0,'[18]EvaluaciónRiesgoCorrup R1'!$F$11&gt;50,'[18]EvaluaciónRiesgoCorrup R1'!$F$11&lt;76,F17=4,H17=20),$J$26," ")))</f>
        <v>#REF!</v>
      </c>
      <c r="BJ17" s="28" t="e">
        <f>IF(AND(#REF!&gt;0,'[18]EvaluaciónRiesgoCorrup R1'!$F$11&gt;50,'[18]EvaluaciónRiesgoCorrup R1'!$F$11&lt;76,F17=5,H17=5),$H$27,IF(AND(#REF!&gt;0,'[18]EvaluaciónRiesgoCorrup R1'!$F$11&gt;50,'[18]EvaluaciónRiesgoCorrup R1'!$F$11&lt;76,F17=5,H17=10),$H$27,IF(AND(#REF!&gt;0,'[18]EvaluaciónRiesgoCorrup R1'!$F$11&gt;50,'[18]EvaluaciónRiesgoCorrup R1'!$F$11&lt;76,F17=5,H17=20),$J$27," ")))</f>
        <v>#REF!</v>
      </c>
      <c r="BL17" s="29" t="s">
        <v>33</v>
      </c>
      <c r="BM17" s="28" t="e">
        <f>IF(AND(#REF!&gt;0,'[18]EvaluaciónRiesgoCorrup R1'!$F$11&lt;51,F17=1,H17=5),$H$23,IF(AND(#REF!&gt;0,'[18]EvaluaciónRiesgoCorrup R1'!$F$11&lt;51,F17=1,H17=10),$J$23,IF(AND(#REF!&gt;0,'[18]EvaluaciónRiesgoCorrup R1'!$F$11&lt;51,F17=1,H17=20),#REF!," ")))</f>
        <v>#REF!</v>
      </c>
      <c r="BN17" s="28" t="e">
        <f>IF(AND(#REF!&gt;0,'[18]EvaluaciónRiesgoCorrup R1'!$F$11&lt;51,F17=2,H17=5),$H$24,IF(AND(#REF!&gt;0,'[18]EvaluaciónRiesgoCorrup R1'!$F$11&lt;51,F17=2,H17=10),$J$24,IF(AND(#REF!&gt;0,'[18]EvaluaciónRiesgoCorrup R1'!$F$11&lt;51,F17=2,H17=20),#REF!," ")))</f>
        <v>#REF!</v>
      </c>
      <c r="BO17" s="28" t="e">
        <f>IF(AND(#REF!&gt;0,'[18]EvaluaciónRiesgoCorrup R1'!$F$11&lt;51,F17=3,H17=5),$H$25,IF(AND(#REF!&gt;0,'[18]EvaluaciónRiesgoCorrup R1'!$F$11&lt;51,F17=3,H17=10),$J$25,IF(AND(#REF!&gt;0,'[18]EvaluaciónRiesgoCorrup R1'!$F$11&lt;51,F17=3,H17=20),#REF!," ")))</f>
        <v>#REF!</v>
      </c>
      <c r="BP17" s="28" t="e">
        <f>IF(AND(#REF!&gt;0,'[18]EvaluaciónRiesgoCorrup R1'!$F$11&lt;51,F17=4,H17=5),$H$26,IF(AND(#REF!&gt;0,'[18]EvaluaciónRiesgoCorrup R1'!$F$11&lt;51,F17=4,H17=10),$J$26,IF(AND(#REF!&gt;0,'[18]EvaluaciónRiesgoCorrup R1'!$F$11&lt;51,F17=4,H17=20),#REF!," ")))</f>
        <v>#REF!</v>
      </c>
      <c r="BQ17" s="28" t="e">
        <f>IF(AND(#REF!&gt;0,'[18]EvaluaciónRiesgoCorrup R1'!$F$11&lt;51,F17=5,H17=5),$H$27,IF(AND(#REF!&gt;0,'[18]EvaluaciónRiesgoCorrup R1'!$F$11&lt;51,F17=5,H17=10),$J$27,IF(AND(#REF!&gt;0,'[18]EvaluaciónRiesgoCorrup R1'!$F$11&lt;51,F17=5,H17=20),#REF!," ")))</f>
        <v>#REF!</v>
      </c>
    </row>
    <row r="18" spans="1:69" ht="409.6" customHeight="1" thickBot="1" x14ac:dyDescent="0.4">
      <c r="A18" s="792" t="s">
        <v>471</v>
      </c>
      <c r="B18" s="793" t="s">
        <v>472</v>
      </c>
      <c r="C18" s="794" t="s">
        <v>473</v>
      </c>
      <c r="D18" s="795" t="s">
        <v>474</v>
      </c>
      <c r="E18" s="796" t="s">
        <v>119</v>
      </c>
      <c r="F18" s="797">
        <v>3</v>
      </c>
      <c r="G18" s="798" t="s">
        <v>107</v>
      </c>
      <c r="H18" s="799">
        <v>20</v>
      </c>
      <c r="I18" s="800" t="s">
        <v>122</v>
      </c>
      <c r="J18" s="801" t="s">
        <v>53</v>
      </c>
      <c r="K18" s="802" t="s">
        <v>475</v>
      </c>
      <c r="L18" s="810" t="s">
        <v>26</v>
      </c>
      <c r="M18" s="812" t="s">
        <v>49</v>
      </c>
      <c r="N18" s="813" t="s">
        <v>110</v>
      </c>
      <c r="O18" s="814">
        <v>2017</v>
      </c>
      <c r="P18" s="815" t="s">
        <v>476</v>
      </c>
      <c r="Q18" s="1005" t="s">
        <v>631</v>
      </c>
      <c r="R18" s="857">
        <v>42947</v>
      </c>
      <c r="S18" s="816" t="s">
        <v>641</v>
      </c>
      <c r="T18" s="817" t="s">
        <v>112</v>
      </c>
      <c r="U18" s="818" t="s">
        <v>477</v>
      </c>
      <c r="W18" s="28" t="str">
        <f>IF(AND(F18=1,H18=5),$H$23,IF(AND(F18=1,H18=10),$J$23,IF(AND(F18=1,H18=20),#REF!," ")))</f>
        <v xml:space="preserve"> </v>
      </c>
      <c r="X18" s="28" t="str">
        <f>IF(AND(F18=2,H18=5),$H$24,IF(AND(F18=2,H18=10),$J$24,IF(AND(F18=2,H18=20),#REF!," ")))</f>
        <v xml:space="preserve"> </v>
      </c>
      <c r="Y18" s="28" t="e">
        <f>IF(AND(F18=3,H18=5),$H$25,IF(AND(F18=3,H18=10),$J$25,IF(AND(F18=3,H18=20),#REF!," ")))</f>
        <v>#REF!</v>
      </c>
      <c r="Z18" s="28" t="str">
        <f>IF(AND(F18=4,H18=5),$H$26,IF(AND(F18=4,H18=10),$J$26,IF(AND(F18=4,H18=20),#REF!," ")))</f>
        <v xml:space="preserve"> </v>
      </c>
      <c r="AA18" s="28" t="str">
        <f>IF(AND(F18=5,H18=5),$H$27,IF(AND(F18=5,H18=10),$J$27,IF(AND(F18=5,H18=20),#REF!," ")))</f>
        <v xml:space="preserve"> </v>
      </c>
      <c r="AD18" s="28" t="str">
        <f>IF(AND(L18&gt;0,'[18]EvaluaciónRiesgoCorrup R1'!$F$11&gt;75,F18=1,H18=5),$H$23,IF(AND(L18&gt;0,'[18]EvaluaciónRiesgoCorrup R1'!$F$11&gt;75,F18=1,H18=10),$J$23,IF(AND(L18&gt;0,'[18]EvaluaciónRiesgoCorrup R1'!$F$11&gt;75,F18=1,H18=20),#REF!," ")))</f>
        <v xml:space="preserve"> </v>
      </c>
      <c r="AE18" s="28" t="str">
        <f>IF(AND(L18&gt;0,'[18]EvaluaciónRiesgoCorrup R1'!$F$11&gt;75,F18=2,H18=5),$H$23,IF(AND(L18&gt;0,'[18]EvaluaciónRiesgoCorrup R1'!$F$11&gt;75,F18=2,H18=10),$J$23,IF(AND(L18&gt;0,'[18]EvaluaciónRiesgoCorrup R1'!$F$11&gt;75,F18=2,H18=20),#REF!," ")))</f>
        <v xml:space="preserve"> </v>
      </c>
      <c r="AF18" s="28" t="e">
        <f>IF(AND(L18&gt;0,'[18]EvaluaciónRiesgoCorrup R1'!$F$11&gt;75,F18=3,H18=5),$H$23,IF(AND(L18&gt;0,'[18]EvaluaciónRiesgoCorrup R1'!$F$11&gt;75,F18=3,H18=10),$J$23,IF(AND(L18&gt;0,'[18]EvaluaciónRiesgoCorrup R1'!$F$11&gt;75,F18=3,H18=20),#REF!," ")))</f>
        <v>#REF!</v>
      </c>
      <c r="AG18" s="28" t="str">
        <f>IF(AND(L18&gt;0,'[18]EvaluaciónRiesgoCorrup R1'!$F$11&gt;75,F18=4,H18=5),$H$24,IF(AND(L18&gt;0,'[18]EvaluaciónRiesgoCorrup R1'!$F$11&gt;75,F18=4,H18=10),$J$24,IF(AND(L18&gt;0,'[18]EvaluaciónRiesgoCorrup R1'!$F$11&gt;75,F18=4,H18=20),#REF!," ")))</f>
        <v xml:space="preserve"> </v>
      </c>
      <c r="AH18" s="28" t="str">
        <f>IF(AND(L18&gt;0,'[18]EvaluaciónRiesgoCorrup R1'!$F$11&gt;75,F18=5,H18=5),$H$25,IF(AND(L18&gt;0,'[18]EvaluaciónRiesgoCorrup R1'!$F$11&gt;75,F18=5,H18=10),$J$25,IF(AND(L18&gt;0,'[18]EvaluaciónRiesgoCorrup R1'!$F$11&gt;75,F18=5,H18=20),#REF!," ")))</f>
        <v xml:space="preserve"> </v>
      </c>
      <c r="AJ18" s="28" t="str">
        <f>IF(AND(L18&gt;0,'[18]EvaluaciónRiesgoCorrup R1'!$F$11&gt;50,'[18]EvaluaciónRiesgoCorrup R1'!$F$11&lt;76,F18=1,H18=5),$H$23,IF(AND(L18&gt;0,'[18]EvaluaciónRiesgoCorrup R1'!$F$11&gt;50,'[18]EvaluaciónRiesgoCorrup R1'!$F$11&lt;76,F18=1,H18=10),$J$23,IF(AND(L18&gt;0,'[18]EvaluaciónRiesgoCorrup R1'!$F$11&gt;50,'[18]EvaluaciónRiesgoCorrup R1'!$F$11&lt;76,F18=1,H18=20),#REF!," ")))</f>
        <v xml:space="preserve"> </v>
      </c>
      <c r="AK18" s="28" t="str">
        <f>IF(AND(L18&gt;0,'[18]EvaluaciónRiesgoCorrup R1'!$F$11&gt;50,'[18]EvaluaciónRiesgoCorrup R1'!$F$11&lt;76,F18=2,H18=5),$H$23,IF(AND(L18&gt;0,'[18]EvaluaciónRiesgoCorrup R1'!$F$11&gt;50,'[18]EvaluaciónRiesgoCorrup R1'!$F$11&lt;76,F18=2,H18=10),$J$23,IF(AND(L18&gt;0,'[18]EvaluaciónRiesgoCorrup R1'!$F$11&gt;50,'[18]EvaluaciónRiesgoCorrup R1'!$F$11&lt;76,F18=2,H18=20),#REF!," ")))</f>
        <v xml:space="preserve"> </v>
      </c>
      <c r="AL18" s="28" t="str">
        <f>IF(AND(L18&gt;0,'[18]EvaluaciónRiesgoCorrup R1'!$F$11&gt;50,'[18]EvaluaciónRiesgoCorrup R1'!$F$11&lt;76,F18=3,H18=5),$H$24,IF(AND(L18&gt;0,'[18]EvaluaciónRiesgoCorrup R1'!$F$11&gt;50,'[18]EvaluaciónRiesgoCorrup R1'!$F$11&lt;76,F18=3,H18=10),$J$24,IF(AND(L18&gt;0,'[18]EvaluaciónRiesgoCorrup R1'!$F$11&gt;50,'[18]EvaluaciónRiesgoCorrup R1'!$F$11&lt;76,F18=3,H18=20),#REF!," ")))</f>
        <v xml:space="preserve"> </v>
      </c>
      <c r="AM18" s="28" t="str">
        <f>IF(AND(L18&gt;0,'[18]EvaluaciónRiesgoCorrup R1'!$F$11&gt;50,'[18]EvaluaciónRiesgoCorrup R1'!$F$11&lt;76,F18=4,H18=5),$H$25,IF(AND(L18&gt;0,'[18]EvaluaciónRiesgoCorrup R1'!$F$11&gt;50,'[18]EvaluaciónRiesgoCorrup R1'!$F$11&lt;76,F18=4,H18=10),$J$25,IF(AND(L18&gt;0,'[18]EvaluaciónRiesgoCorrup R1'!$F$11&gt;50,'[18]EvaluaciónRiesgoCorrup R1'!$F$11&lt;76,F18=4,H18=20),#REF!," ")))</f>
        <v xml:space="preserve"> </v>
      </c>
      <c r="AN18" s="28" t="str">
        <f>IF(AND(L18&gt;0,'[18]EvaluaciónRiesgoCorrup R1'!$F$11&gt;50,'[18]EvaluaciónRiesgoCorrup R1'!$F$11&lt;76,F18=5,H18=5),$H$26,IF(AND(L18&gt;0,'[18]EvaluaciónRiesgoCorrup R1'!$F$11&gt;50,'[18]EvaluaciónRiesgoCorrup R1'!$F$11&lt;76,F18=5,H18=10),$J$26,IF(AND(L18&gt;0,'[18]EvaluaciónRiesgoCorrup R1'!$F$11&gt;50,'[18]EvaluaciónRiesgoCorrup R1'!$F$11&lt;76,F18=5,H18=20),#REF!," ")))</f>
        <v xml:space="preserve"> </v>
      </c>
      <c r="AQ18" s="28" t="str">
        <f>IF(AND(L18&gt;0,'[18]EvaluaciónRiesgoCorrup R1'!$F$11&lt;51,F18=1,H18=5),$H$23,IF(AND(L18&gt;0,'[18]EvaluaciónRiesgoCorrup R1'!$F$11&lt;51,F18=1,H18=10),$J$23,IF(AND(L18&gt;0,'[18]EvaluaciónRiesgoCorrup R1'!$F$11&lt;51,F18=1,H18=20),#REF!," ")))</f>
        <v xml:space="preserve"> </v>
      </c>
      <c r="AR18" s="28" t="str">
        <f>IF(AND(L18&gt;0,'[18]EvaluaciónRiesgoCorrup R1'!$F$11&lt;51,F18=2,H18=5),$H$24,IF(AND(L18&gt;0,'[18]EvaluaciónRiesgoCorrup R1'!$F$11&lt;51,F18=2,H18=10),$J$24,IF(AND(L18&gt;0,'[18]EvaluaciónRiesgoCorrup R1'!$F$11&lt;51,F18=2,H18=20),#REF!," ")))</f>
        <v xml:space="preserve"> </v>
      </c>
      <c r="AS18" s="28" t="str">
        <f>IF(AND(L18&gt;0,'[18]EvaluaciónRiesgoCorrup R1'!$F$11&lt;51,F18=3,H18=5),$H$25,IF(AND(L18&gt;0,'[18]EvaluaciónRiesgoCorrup R1'!$F$11&lt;51,F18=3,H18=10),$J$25,IF(AND(L18&gt;0,'[18]EvaluaciónRiesgoCorrup R1'!$F$11&lt;51,F18=3,H18=20),#REF!," ")))</f>
        <v xml:space="preserve"> </v>
      </c>
      <c r="AT18" s="28" t="str">
        <f>IF(AND(L18&gt;0,'[18]EvaluaciónRiesgoCorrup R1'!$F$11&lt;51,F18=4,H18=5),$H$26,IF(AND(L18&gt;0,'[18]EvaluaciónRiesgoCorrup R1'!$F$11&lt;51,F18=4,H18=10),$J$26,IF(AND(L18&gt;0,'[18]EvaluaciónRiesgoCorrup R1'!$F$11&lt;51,F18=4,H18=20),#REF!," ")))</f>
        <v xml:space="preserve"> </v>
      </c>
      <c r="AU18" s="28" t="str">
        <f>IF(AND(L18&gt;0,'[18]EvaluaciónRiesgoCorrup R1'!$F$11&lt;51,F18=5,H18=5),$H$27,IF(AND(L18&gt;0,'[18]EvaluaciónRiesgoCorrup R1'!$F$11&lt;51,F18=5,H18=10),$J$27,IF(AND(L18&gt;0,'[18]EvaluaciónRiesgoCorrup R1'!$F$11&lt;51,F18=5,H18=20),#REF!," ")))</f>
        <v xml:space="preserve"> </v>
      </c>
      <c r="AY18" s="28" t="e">
        <f>IF(AND(#REF!&gt;0,'[18]EvaluaciónRiesgoCorrup R1'!$F$11&gt;75,F18=1,H18=5),$H$23,IF(AND(#REF!&gt;0,'[18]EvaluaciónRiesgoCorrup R1'!$F$11&gt;75,F18=1,H18=10),$H$23,IF(AND(#REF!&gt;0,'[18]EvaluaciónRiesgoCorrup R1'!$F$11&gt;75,F18=1,H18=20),$H$23," ")))</f>
        <v>#REF!</v>
      </c>
      <c r="AZ18" s="28" t="e">
        <f>IF(AND(#REF!&gt;0,'[18]EvaluaciónRiesgoCorrup R1'!$F$11&gt;75,F18=2,H18=5),$H$24,IF(AND(#REF!&gt;0,'[18]EvaluaciónRiesgoCorrup R1'!$F$11&gt;75,F18=2,H18=10),$H$24,IF(AND(#REF!&gt;0,'[18]EvaluaciónRiesgoCorrup R1'!$F$11&gt;75,F18=2,H18=20),$H$24," ")))</f>
        <v>#REF!</v>
      </c>
      <c r="BA18" s="28" t="e">
        <f>IF(AND(#REF!&gt;0,'[18]EvaluaciónRiesgoCorrup R1'!$F$11&gt;75,F18=3,H18=5),$H$25,IF(AND(#REF!&gt;0,'[18]EvaluaciónRiesgoCorrup R1'!$F$11&gt;75,F18=3,H18=10),$H$25,IF(AND(#REF!&gt;0,'[18]EvaluaciónRiesgoCorrup R1'!$F$11&gt;75,F18=3,H18=20),$H$25," ")))</f>
        <v>#REF!</v>
      </c>
      <c r="BB18" s="28" t="e">
        <f>IF(AND(#REF!&gt;0,'[18]EvaluaciónRiesgoCorrup R1'!$F$11&gt;75,F18=4,H18=5),$H$26,IF(AND(#REF!&gt;0,'[18]EvaluaciónRiesgoCorrup R1'!$F$11&gt;75,F18=4,H18=10),$H$26,IF(AND(#REF!&gt;0,'[18]EvaluaciónRiesgoCorrup R1'!$F$11&gt;75,F18=4,H18=20),$H$26," ")))</f>
        <v>#REF!</v>
      </c>
      <c r="BC18" s="28" t="e">
        <f>IF(AND(#REF!&gt;0,'[18]EvaluaciónRiesgoCorrup R1'!$F$11&gt;75,F18=5,H18=5),$H$27,IF(AND(#REF!&gt;0,'[18]EvaluaciónRiesgoCorrup R1'!$F$11&gt;75,F18=5,H18=10),$H$27,IF(AND(#REF!&gt;0,'[18]EvaluaciónRiesgoCorrup R1'!$F$11&gt;75,F18=5,H18=20),$H$27," ")))</f>
        <v>#REF!</v>
      </c>
      <c r="BF18" s="28" t="e">
        <f>IF(AND(#REF!&gt;0,'[18]EvaluaciónRiesgoCorrup R1'!$F$11&gt;50,'[18]EvaluaciónRiesgoCorrup R1'!$F$11&lt;76,F18=1,H18=5),$H$23,IF(AND(#REF!&gt;0,'[18]EvaluaciónRiesgoCorrup R1'!$F$11&gt;50,'[18]EvaluaciónRiesgoCorrup R1'!$F$11&lt;76,F18=1,H18=10),$H$23,IF(AND(#REF!&gt;0,'[18]EvaluaciónRiesgoCorrup R1'!$F$11&gt;50,'[18]EvaluaciónRiesgoCorrup R1'!$F$11&lt;76,F18=1,H18=20),$J$23," ")))</f>
        <v>#REF!</v>
      </c>
      <c r="BG18" s="28" t="e">
        <f>IF(AND(#REF!&gt;0,'[18]EvaluaciónRiesgoCorrup R1'!$F$11&gt;50,'[18]EvaluaciónRiesgoCorrup R1'!$F$11&lt;76,F18=2,H18=5),$H$24,IF(AND(#REF!&gt;0,'[18]EvaluaciónRiesgoCorrup R1'!$F$11&gt;50,'[18]EvaluaciónRiesgoCorrup R1'!$F$11&lt;76,F18=2,H18=10),$H$24,IF(AND(#REF!&gt;0,'[18]EvaluaciónRiesgoCorrup R1'!$F$11&gt;50,'[18]EvaluaciónRiesgoCorrup R1'!$F$11&lt;76,F18=2,H18=20),$J$24," ")))</f>
        <v>#REF!</v>
      </c>
      <c r="BH18" s="28" t="e">
        <f>IF(AND(#REF!&gt;0,'[18]EvaluaciónRiesgoCorrup R1'!$F$11&gt;50,'[18]EvaluaciónRiesgoCorrup R1'!$F$11&lt;76,F18=3,H18=5),$H$25,IF(AND(#REF!&gt;0,'[18]EvaluaciónRiesgoCorrup R1'!$F$11&gt;50,'[18]EvaluaciónRiesgoCorrup R1'!$F$11&lt;76,F18=3,H18=10),$H$25,IF(AND(#REF!&gt;0,'[18]EvaluaciónRiesgoCorrup R1'!$F$11&gt;50,'[18]EvaluaciónRiesgoCorrup R1'!$F$11&lt;76,F18=3,H18=20),$J$25," ")))</f>
        <v>#REF!</v>
      </c>
      <c r="BI18" s="28" t="e">
        <f>IF(AND(#REF!&gt;0,'[18]EvaluaciónRiesgoCorrup R1'!$F$11&gt;50,'[18]EvaluaciónRiesgoCorrup R1'!$F$11&lt;76,F18=4,H18=5),$H$26,IF(AND(#REF!&gt;0,'[18]EvaluaciónRiesgoCorrup R1'!$F$11&gt;50,'[18]EvaluaciónRiesgoCorrup R1'!$F$11&lt;76,F18=4,H18=10),$H$26,IF(AND(#REF!&gt;0,'[18]EvaluaciónRiesgoCorrup R1'!$F$11&gt;50,'[18]EvaluaciónRiesgoCorrup R1'!$F$11&lt;76,F18=4,H18=20),$J$26," ")))</f>
        <v>#REF!</v>
      </c>
      <c r="BJ18" s="28" t="e">
        <f>IF(AND(#REF!&gt;0,'[18]EvaluaciónRiesgoCorrup R1'!$F$11&gt;50,'[18]EvaluaciónRiesgoCorrup R1'!$F$11&lt;76,F18=5,H18=5),$H$27,IF(AND(#REF!&gt;0,'[18]EvaluaciónRiesgoCorrup R1'!$F$11&gt;50,'[18]EvaluaciónRiesgoCorrup R1'!$F$11&lt;76,F18=5,H18=10),$H$27,IF(AND(#REF!&gt;0,'[18]EvaluaciónRiesgoCorrup R1'!$F$11&gt;50,'[18]EvaluaciónRiesgoCorrup R1'!$F$11&lt;76,F18=5,H18=20),$J$27," ")))</f>
        <v>#REF!</v>
      </c>
      <c r="BM18" s="28" t="e">
        <f>IF(AND(#REF!&gt;0,'[18]EvaluaciónRiesgoCorrup R1'!$F$11&lt;51,F18=1,H18=5),$H$23,IF(AND(#REF!&gt;0,'[18]EvaluaciónRiesgoCorrup R1'!$F$11&lt;51,F18=1,H18=10),$J$23,IF(AND(#REF!&gt;0,'[18]EvaluaciónRiesgoCorrup R1'!$F$11&lt;51,F18=1,H18=20),#REF!," ")))</f>
        <v>#REF!</v>
      </c>
      <c r="BN18" s="28" t="e">
        <f>IF(AND(#REF!&gt;0,'[18]EvaluaciónRiesgoCorrup R1'!$F$11&lt;51,F18=2,H18=5),$H$24,IF(AND(#REF!&gt;0,'[18]EvaluaciónRiesgoCorrup R1'!$F$11&lt;51,F18=2,H18=10),$J$24,IF(AND(#REF!&gt;0,'[18]EvaluaciónRiesgoCorrup R1'!$F$11&lt;51,F18=2,H18=20),#REF!," ")))</f>
        <v>#REF!</v>
      </c>
      <c r="BO18" s="28" t="e">
        <f>IF(AND(#REF!&gt;0,'[18]EvaluaciónRiesgoCorrup R1'!$F$11&lt;51,F18=3,H18=5),$H$25,IF(AND(#REF!&gt;0,'[18]EvaluaciónRiesgoCorrup R1'!$F$11&lt;51,F18=3,H18=10),$J$25,IF(AND(#REF!&gt;0,'[18]EvaluaciónRiesgoCorrup R1'!$F$11&lt;51,F18=3,H18=20),#REF!," ")))</f>
        <v>#REF!</v>
      </c>
      <c r="BP18" s="28" t="e">
        <f>IF(AND(#REF!&gt;0,'[18]EvaluaciónRiesgoCorrup R1'!$F$11&lt;51,F18=4,H18=5),$H$26,IF(AND(#REF!&gt;0,'[18]EvaluaciónRiesgoCorrup R1'!$F$11&lt;51,F18=4,H18=10),$J$26,IF(AND(#REF!&gt;0,'[18]EvaluaciónRiesgoCorrup R1'!$F$11&lt;51,F18=4,H18=20),#REF!," ")))</f>
        <v>#REF!</v>
      </c>
      <c r="BQ18" s="28" t="e">
        <f>IF(AND(#REF!&gt;0,'[18]EvaluaciónRiesgoCorrup R1'!$F$11&lt;51,F18=5,H18=5),$H$27,IF(AND(#REF!&gt;0,'[18]EvaluaciónRiesgoCorrup R1'!$F$11&lt;51,F18=5,H18=10),$J$27,IF(AND(#REF!&gt;0,'[18]EvaluaciónRiesgoCorrup R1'!$F$11&lt;51,F18=5,H18=20),#REF!," ")))</f>
        <v>#REF!</v>
      </c>
    </row>
    <row r="19" spans="1:69" x14ac:dyDescent="0.35">
      <c r="A19" s="28"/>
      <c r="B19" s="30"/>
      <c r="C19" s="30"/>
      <c r="D19" s="30"/>
      <c r="E19" s="33"/>
      <c r="L19" s="811"/>
      <c r="M19" s="6"/>
    </row>
    <row r="20" spans="1:69" ht="14.5" thickBot="1" x14ac:dyDescent="0.4">
      <c r="A20" s="28"/>
      <c r="B20" s="30"/>
      <c r="C20" s="30"/>
      <c r="D20" s="30"/>
      <c r="E20" s="33"/>
      <c r="H20" s="32"/>
      <c r="I20" s="32"/>
      <c r="J20" s="32"/>
      <c r="K20" s="32"/>
      <c r="L20" s="811"/>
      <c r="M20" s="6"/>
    </row>
    <row r="21" spans="1:69" ht="14.5" thickBot="1" x14ac:dyDescent="0.4">
      <c r="A21" s="6"/>
      <c r="B21" s="33"/>
      <c r="C21" s="33"/>
      <c r="D21" s="33"/>
      <c r="E21" s="33"/>
      <c r="F21" s="1019" t="s">
        <v>26</v>
      </c>
      <c r="G21" s="84"/>
      <c r="H21" s="1021" t="s">
        <v>10</v>
      </c>
      <c r="I21" s="1021"/>
      <c r="J21" s="1021"/>
      <c r="K21" s="1021"/>
      <c r="L21" s="6"/>
      <c r="M21" s="6"/>
      <c r="P21" s="5"/>
      <c r="R21" s="2"/>
    </row>
    <row r="22" spans="1:69" ht="32.25" customHeight="1" thickBot="1" x14ac:dyDescent="0.4">
      <c r="A22" s="5"/>
      <c r="B22" s="34" t="s">
        <v>42</v>
      </c>
      <c r="C22" s="34"/>
      <c r="D22" s="34"/>
      <c r="E22" s="34"/>
      <c r="F22" s="1020"/>
      <c r="G22" s="69"/>
      <c r="H22" s="35" t="s">
        <v>43</v>
      </c>
      <c r="I22" s="35"/>
      <c r="J22" s="36" t="s">
        <v>44</v>
      </c>
      <c r="K22" s="805"/>
      <c r="L22" s="6"/>
      <c r="M22" s="6"/>
      <c r="P22" s="5"/>
      <c r="R22" s="2"/>
    </row>
    <row r="23" spans="1:69" ht="30.75" customHeight="1" thickBot="1" x14ac:dyDescent="0.4">
      <c r="B23" s="1096" t="s">
        <v>46</v>
      </c>
      <c r="C23" s="1096"/>
      <c r="D23" s="1097"/>
      <c r="E23" s="70"/>
      <c r="F23" s="37" t="s">
        <v>47</v>
      </c>
      <c r="G23" s="37"/>
      <c r="H23" s="38" t="s">
        <v>48</v>
      </c>
      <c r="I23" s="38"/>
      <c r="J23" s="38" t="s">
        <v>48</v>
      </c>
      <c r="K23" s="806"/>
      <c r="L23" s="6"/>
      <c r="M23" s="6"/>
      <c r="P23" s="5"/>
      <c r="R23" s="2"/>
    </row>
    <row r="24" spans="1:69" ht="14.5" thickBot="1" x14ac:dyDescent="0.4">
      <c r="F24" s="37" t="s">
        <v>50</v>
      </c>
      <c r="G24" s="37"/>
      <c r="H24" s="38" t="s">
        <v>48</v>
      </c>
      <c r="I24" s="38"/>
      <c r="J24" s="39" t="s">
        <v>49</v>
      </c>
      <c r="K24" s="807"/>
      <c r="L24" s="6"/>
      <c r="M24" s="6"/>
      <c r="P24" s="5"/>
      <c r="R24" s="2"/>
    </row>
    <row r="25" spans="1:69" ht="14.5" thickBot="1" x14ac:dyDescent="0.4">
      <c r="F25" s="37" t="s">
        <v>52</v>
      </c>
      <c r="G25" s="37"/>
      <c r="H25" s="39" t="s">
        <v>49</v>
      </c>
      <c r="I25" s="39"/>
      <c r="J25" s="40" t="s">
        <v>51</v>
      </c>
      <c r="K25" s="808"/>
      <c r="L25" s="6"/>
      <c r="M25" s="6"/>
      <c r="P25" s="5"/>
      <c r="R25" s="2"/>
    </row>
    <row r="26" spans="1:69" ht="14.5" thickBot="1" x14ac:dyDescent="0.4">
      <c r="F26" s="37" t="s">
        <v>54</v>
      </c>
      <c r="G26" s="37"/>
      <c r="H26" s="39" t="s">
        <v>49</v>
      </c>
      <c r="I26" s="39"/>
      <c r="J26" s="40" t="s">
        <v>51</v>
      </c>
      <c r="K26" s="808"/>
      <c r="L26" s="6"/>
      <c r="M26" s="6"/>
      <c r="P26" s="5"/>
      <c r="R26" s="2"/>
    </row>
    <row r="27" spans="1:69" ht="14.5" thickBot="1" x14ac:dyDescent="0.4">
      <c r="F27" s="37" t="s">
        <v>55</v>
      </c>
      <c r="G27" s="37"/>
      <c r="H27" s="39" t="s">
        <v>49</v>
      </c>
      <c r="I27" s="39"/>
      <c r="J27" s="40" t="s">
        <v>51</v>
      </c>
      <c r="K27" s="808"/>
      <c r="L27" s="6"/>
      <c r="M27" s="6"/>
      <c r="P27" s="5"/>
      <c r="R27" s="2"/>
    </row>
    <row r="28" spans="1:69" x14ac:dyDescent="0.35">
      <c r="F28" s="2"/>
      <c r="G28" s="2"/>
      <c r="H28" s="2"/>
      <c r="I28" s="2"/>
      <c r="J28" s="2"/>
      <c r="K28" s="2"/>
      <c r="L28" s="811"/>
      <c r="M28" s="6"/>
    </row>
    <row r="29" spans="1:69" x14ac:dyDescent="0.35">
      <c r="F29" s="42" t="s">
        <v>56</v>
      </c>
      <c r="G29" s="42"/>
      <c r="H29" s="2"/>
      <c r="I29" s="2"/>
      <c r="J29" s="2"/>
      <c r="K29" s="2"/>
      <c r="L29" s="811"/>
      <c r="M29" s="811"/>
      <c r="N29" s="5"/>
      <c r="O29" s="5"/>
    </row>
    <row r="30" spans="1:69" x14ac:dyDescent="0.35">
      <c r="F30" s="43" t="s">
        <v>57</v>
      </c>
      <c r="G30" s="43"/>
      <c r="H30" s="2"/>
      <c r="I30" s="2"/>
      <c r="J30" s="2"/>
      <c r="K30" s="2"/>
      <c r="L30" s="811"/>
      <c r="M30" s="811"/>
      <c r="N30" s="5"/>
      <c r="O30" s="5"/>
    </row>
    <row r="31" spans="1:69" x14ac:dyDescent="0.35">
      <c r="F31" s="44" t="s">
        <v>58</v>
      </c>
      <c r="G31" s="44"/>
      <c r="H31" s="2"/>
      <c r="I31" s="2"/>
      <c r="J31" s="2"/>
      <c r="K31" s="2"/>
      <c r="L31" s="811"/>
      <c r="M31" s="811"/>
      <c r="N31" s="5"/>
      <c r="O31" s="5"/>
    </row>
    <row r="32" spans="1:69" x14ac:dyDescent="0.35">
      <c r="F32" s="45" t="s">
        <v>59</v>
      </c>
      <c r="G32" s="45"/>
      <c r="H32" s="2"/>
      <c r="I32" s="2"/>
      <c r="J32" s="2"/>
      <c r="K32" s="2"/>
      <c r="L32" s="811"/>
      <c r="M32" s="811"/>
      <c r="N32" s="5"/>
      <c r="O32" s="5"/>
    </row>
    <row r="33" spans="12:13" x14ac:dyDescent="0.35">
      <c r="L33" s="811"/>
      <c r="M33" s="6"/>
    </row>
    <row r="34" spans="12:13" x14ac:dyDescent="0.35">
      <c r="L34" s="811"/>
      <c r="M34" s="6"/>
    </row>
    <row r="35" spans="12:13" x14ac:dyDescent="0.35">
      <c r="L35" s="811"/>
      <c r="M35" s="6"/>
    </row>
    <row r="36" spans="12:13" x14ac:dyDescent="0.35">
      <c r="L36" s="811"/>
      <c r="M36" s="6"/>
    </row>
    <row r="37" spans="12:13" x14ac:dyDescent="0.35">
      <c r="L37" s="811"/>
      <c r="M37" s="6"/>
    </row>
    <row r="38" spans="12:13" x14ac:dyDescent="0.35">
      <c r="L38" s="811"/>
      <c r="M38" s="6"/>
    </row>
    <row r="39" spans="12:13" x14ac:dyDescent="0.35">
      <c r="L39" s="811"/>
      <c r="M39" s="6"/>
    </row>
  </sheetData>
  <mergeCells count="34">
    <mergeCell ref="B23:D23"/>
    <mergeCell ref="R15:R16"/>
    <mergeCell ref="S15:S16"/>
    <mergeCell ref="T15:T16"/>
    <mergeCell ref="U15:U16"/>
    <mergeCell ref="F21:F22"/>
    <mergeCell ref="H21:K21"/>
    <mergeCell ref="O15:Q15"/>
    <mergeCell ref="A15:A16"/>
    <mergeCell ref="B15:B16"/>
    <mergeCell ref="D15:D16"/>
    <mergeCell ref="F15:H15"/>
    <mergeCell ref="L15:M15"/>
    <mergeCell ref="A12:D12"/>
    <mergeCell ref="F12:U12"/>
    <mergeCell ref="AF13:AX13"/>
    <mergeCell ref="AZ13:BS13"/>
    <mergeCell ref="A14:D14"/>
    <mergeCell ref="F14:H14"/>
    <mergeCell ref="L14:M14"/>
    <mergeCell ref="O14:Q14"/>
    <mergeCell ref="R14:U14"/>
    <mergeCell ref="A6:D6"/>
    <mergeCell ref="F6:U6"/>
    <mergeCell ref="A8:D8"/>
    <mergeCell ref="F8:U8"/>
    <mergeCell ref="A10:D10"/>
    <mergeCell ref="F10:U10"/>
    <mergeCell ref="A1:D4"/>
    <mergeCell ref="F1:S4"/>
    <mergeCell ref="T1:U1"/>
    <mergeCell ref="T2:U2"/>
    <mergeCell ref="T3:U3"/>
    <mergeCell ref="T4:U4"/>
  </mergeCells>
  <conditionalFormatting sqref="M17:N18 J17:K18">
    <cfRule type="containsText" dxfId="99" priority="1" operator="containsText" text="E">
      <formula>NOT(ISERROR(SEARCH("E",J17)))</formula>
    </cfRule>
    <cfRule type="containsText" dxfId="98" priority="2" operator="containsText" text="M">
      <formula>NOT(ISERROR(SEARCH("M",J17)))</formula>
    </cfRule>
    <cfRule type="containsText" dxfId="97" priority="3" operator="containsText" text="A">
      <formula>NOT(ISERROR(SEARCH("A",J17)))</formula>
    </cfRule>
    <cfRule type="containsText" dxfId="96" priority="4" operator="containsText" text="B">
      <formula>NOT(ISERROR(SEARCH("B",J17)))</formula>
    </cfRule>
  </conditionalFormatting>
  <pageMargins left="0.7" right="0.7" top="0.75" bottom="0.75" header="0.3" footer="0.3"/>
  <pageSetup scale="1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6"/>
  <sheetViews>
    <sheetView showGridLines="0" view="pageBreakPreview" topLeftCell="L21" zoomScale="80" zoomScaleNormal="70" zoomScaleSheetLayoutView="80" workbookViewId="0">
      <selection activeCell="S23" sqref="S23"/>
    </sheetView>
  </sheetViews>
  <sheetFormatPr baseColWidth="10" defaultColWidth="11.453125" defaultRowHeight="14" x14ac:dyDescent="0.35"/>
  <cols>
    <col min="1" max="1" width="34.7265625" style="2" customWidth="1"/>
    <col min="2" max="2" width="25.54296875" style="2" customWidth="1"/>
    <col min="3" max="3" width="25.54296875" style="399" customWidth="1"/>
    <col min="4" max="4" width="19.7265625" style="2" customWidth="1"/>
    <col min="5" max="5" width="19.7265625" style="399" customWidth="1"/>
    <col min="6" max="6" width="27" style="5" customWidth="1"/>
    <col min="7" max="7" width="27" style="402" customWidth="1"/>
    <col min="8" max="8" width="19" style="5" customWidth="1"/>
    <col min="9" max="9" width="19" style="402" customWidth="1"/>
    <col min="10" max="10" width="26.7265625" style="5" customWidth="1"/>
    <col min="11" max="11" width="29.7265625" style="2" customWidth="1"/>
    <col min="12" max="12" width="21.54296875" style="5" customWidth="1"/>
    <col min="13" max="13" width="18.54296875" style="2" customWidth="1"/>
    <col min="14" max="14" width="21.7265625" style="2" customWidth="1"/>
    <col min="15" max="15" width="21.7265625" style="399" customWidth="1"/>
    <col min="16" max="16" width="19.81640625" style="2" customWidth="1"/>
    <col min="17" max="17" width="26" style="2" customWidth="1"/>
    <col min="18" max="18" width="39.453125" style="2" customWidth="1"/>
    <col min="19" max="19" width="36.453125" style="5" customWidth="1"/>
    <col min="20" max="20" width="43.26953125" style="2" customWidth="1"/>
    <col min="21" max="23" width="30.453125" style="2" customWidth="1"/>
    <col min="24" max="24" width="36" style="2" hidden="1" customWidth="1"/>
    <col min="25" max="25" width="0" style="2" hidden="1" customWidth="1"/>
    <col min="26" max="72" width="11.453125" style="2" hidden="1" customWidth="1"/>
    <col min="73" max="73" width="11.453125" style="2" customWidth="1"/>
    <col min="74" max="16384" width="11.453125" style="2"/>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91" t="s">
        <v>372</v>
      </c>
      <c r="V2" s="1091"/>
      <c r="W2" s="109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91" t="s">
        <v>373</v>
      </c>
      <c r="V3" s="1091"/>
      <c r="W3" s="109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3"/>
      <c r="C5" s="400"/>
      <c r="D5" s="3"/>
      <c r="E5" s="400"/>
      <c r="F5" s="4"/>
      <c r="G5" s="401"/>
      <c r="H5" s="4"/>
      <c r="I5" s="401"/>
      <c r="J5" s="4"/>
      <c r="K5" s="4"/>
      <c r="L5" s="4"/>
      <c r="M5" s="4"/>
      <c r="N5" s="4"/>
      <c r="O5" s="401"/>
      <c r="P5" s="4"/>
      <c r="Q5" s="4"/>
      <c r="W5" s="6"/>
      <c r="X5" s="6"/>
    </row>
    <row r="6" spans="1:72" x14ac:dyDescent="0.35">
      <c r="A6" s="1030" t="s">
        <v>3</v>
      </c>
      <c r="B6" s="1030"/>
      <c r="C6" s="1030"/>
      <c r="D6" s="1030"/>
      <c r="E6" s="82"/>
      <c r="F6" s="1044" t="s">
        <v>93</v>
      </c>
      <c r="G6" s="1045"/>
      <c r="H6" s="1045"/>
      <c r="I6" s="1045"/>
      <c r="J6" s="1045"/>
      <c r="K6" s="1045"/>
      <c r="L6" s="1045"/>
      <c r="M6" s="1045"/>
      <c r="N6" s="1045"/>
      <c r="O6" s="1045"/>
      <c r="P6" s="1045"/>
      <c r="Q6" s="1045"/>
      <c r="R6" s="1045"/>
      <c r="S6" s="1045"/>
      <c r="T6" s="1045"/>
      <c r="U6" s="1045"/>
      <c r="V6" s="1046"/>
      <c r="W6" s="6"/>
      <c r="X6" s="6"/>
    </row>
    <row r="7" spans="1:72" ht="6.75" customHeight="1" x14ac:dyDescent="0.35">
      <c r="B7" s="3"/>
      <c r="C7" s="400"/>
      <c r="D7" s="3"/>
      <c r="E7" s="400"/>
      <c r="F7" s="7"/>
      <c r="G7" s="405"/>
      <c r="H7" s="7"/>
      <c r="I7" s="405"/>
      <c r="J7" s="7"/>
      <c r="K7" s="7"/>
      <c r="L7" s="7"/>
      <c r="M7" s="7"/>
      <c r="N7" s="7"/>
      <c r="O7" s="405"/>
      <c r="P7" s="7"/>
      <c r="Q7" s="7"/>
      <c r="R7" s="8"/>
      <c r="S7" s="8"/>
      <c r="T7" s="8"/>
      <c r="U7" s="8"/>
      <c r="V7" s="8"/>
      <c r="W7" s="6"/>
      <c r="X7" s="6"/>
    </row>
    <row r="8" spans="1:72" ht="39.75" customHeight="1" x14ac:dyDescent="0.35">
      <c r="A8" s="1030" t="s">
        <v>4</v>
      </c>
      <c r="B8" s="1030"/>
      <c r="C8" s="1030"/>
      <c r="D8" s="1030"/>
      <c r="E8" s="82"/>
      <c r="F8" s="1047" t="str">
        <f>[19]IdentRiesgo!B3</f>
        <v>Brindar el apoyo logístico mediante el suministro de materiales, equipos, elementos y servicios con el fin de proporcionar un ambiente adecuado de trabajo y satisfacer las necesidades de bienes y servicios requeridos para el excelente funcionamiento del IDEAM</v>
      </c>
      <c r="G8" s="1048"/>
      <c r="H8" s="1048"/>
      <c r="I8" s="1048"/>
      <c r="J8" s="1048"/>
      <c r="K8" s="1048"/>
      <c r="L8" s="1048"/>
      <c r="M8" s="1048"/>
      <c r="N8" s="1048"/>
      <c r="O8" s="1048"/>
      <c r="P8" s="1048"/>
      <c r="Q8" s="1048"/>
      <c r="R8" s="1048"/>
      <c r="S8" s="1048"/>
      <c r="T8" s="1048"/>
      <c r="U8" s="1048"/>
      <c r="V8" s="1049"/>
      <c r="W8" s="9"/>
      <c r="X8" s="9"/>
    </row>
    <row r="9" spans="1:72" ht="6.75" customHeight="1" x14ac:dyDescent="0.35">
      <c r="B9" s="10"/>
      <c r="C9" s="403"/>
      <c r="D9" s="10"/>
      <c r="E9" s="403"/>
      <c r="F9" s="11"/>
      <c r="G9" s="406"/>
      <c r="H9" s="11"/>
      <c r="I9" s="406"/>
      <c r="J9" s="11"/>
      <c r="K9" s="11"/>
      <c r="L9" s="11"/>
      <c r="M9" s="11"/>
      <c r="N9" s="11"/>
      <c r="O9" s="406"/>
      <c r="P9" s="11"/>
      <c r="Q9" s="11"/>
      <c r="R9" s="8"/>
      <c r="S9" s="8"/>
      <c r="T9" s="8"/>
      <c r="U9" s="8"/>
      <c r="V9" s="8"/>
      <c r="W9" s="6"/>
      <c r="X9" s="6"/>
    </row>
    <row r="10" spans="1:72" x14ac:dyDescent="0.35">
      <c r="A10" s="1030" t="s">
        <v>5</v>
      </c>
      <c r="B10" s="1030"/>
      <c r="C10" s="1030"/>
      <c r="D10" s="1030"/>
      <c r="E10" s="82"/>
      <c r="F10" s="1031" t="s">
        <v>94</v>
      </c>
      <c r="G10" s="1032"/>
      <c r="H10" s="1032"/>
      <c r="I10" s="1032"/>
      <c r="J10" s="1032"/>
      <c r="K10" s="1032"/>
      <c r="L10" s="1032"/>
      <c r="M10" s="1032"/>
      <c r="N10" s="1032"/>
      <c r="O10" s="1032"/>
      <c r="P10" s="1032"/>
      <c r="Q10" s="1032"/>
      <c r="R10" s="1032"/>
      <c r="S10" s="1032"/>
      <c r="T10" s="1032"/>
      <c r="U10" s="1032"/>
      <c r="V10" s="1033"/>
      <c r="W10" s="12"/>
      <c r="X10" s="12"/>
    </row>
    <row r="11" spans="1:72" ht="5.25" customHeight="1" x14ac:dyDescent="0.35">
      <c r="B11" s="3"/>
      <c r="C11" s="400"/>
      <c r="D11" s="3"/>
      <c r="E11" s="400"/>
      <c r="F11" s="13"/>
      <c r="G11" s="425"/>
      <c r="H11" s="13"/>
      <c r="I11" s="425"/>
      <c r="J11" s="13"/>
      <c r="K11" s="13"/>
      <c r="L11" s="13"/>
      <c r="M11" s="13"/>
      <c r="N11" s="13"/>
      <c r="O11" s="425"/>
      <c r="P11" s="13"/>
      <c r="Q11" s="13"/>
      <c r="R11" s="8"/>
      <c r="S11" s="8"/>
      <c r="T11" s="8"/>
      <c r="U11" s="8"/>
      <c r="V11" s="8"/>
      <c r="W11" s="6"/>
      <c r="X11" s="6"/>
    </row>
    <row r="12" spans="1:72" x14ac:dyDescent="0.35">
      <c r="A12" s="1030" t="s">
        <v>6</v>
      </c>
      <c r="B12" s="1030"/>
      <c r="C12" s="1030"/>
      <c r="D12" s="1030"/>
      <c r="E12" s="82"/>
      <c r="F12" s="1031" t="s">
        <v>92</v>
      </c>
      <c r="G12" s="1032"/>
      <c r="H12" s="1032"/>
      <c r="I12" s="1032"/>
      <c r="J12" s="1032"/>
      <c r="K12" s="1032"/>
      <c r="L12" s="1032"/>
      <c r="M12" s="1032"/>
      <c r="N12" s="1032"/>
      <c r="O12" s="1032"/>
      <c r="P12" s="1032"/>
      <c r="Q12" s="1032"/>
      <c r="R12" s="1032"/>
      <c r="S12" s="1032"/>
      <c r="T12" s="1032"/>
      <c r="U12" s="1032"/>
      <c r="V12" s="1033"/>
      <c r="W12" s="12"/>
      <c r="X12" s="12"/>
      <c r="AA12" s="2" t="s">
        <v>7</v>
      </c>
    </row>
    <row r="13" spans="1:72" ht="14.5" thickBot="1" x14ac:dyDescent="0.4">
      <c r="B13" s="3"/>
      <c r="C13" s="400"/>
      <c r="D13" s="3"/>
      <c r="E13" s="400"/>
      <c r="F13" s="14"/>
      <c r="G13" s="407"/>
      <c r="H13" s="15"/>
      <c r="I13" s="404"/>
      <c r="J13" s="15"/>
      <c r="K13" s="7"/>
      <c r="L13" s="15"/>
      <c r="M13" s="7"/>
      <c r="N13" s="7"/>
      <c r="O13" s="405"/>
      <c r="P13" s="7"/>
      <c r="Q13" s="7"/>
      <c r="R13" s="7"/>
      <c r="S13" s="15"/>
      <c r="T13" s="7"/>
      <c r="W13" s="6"/>
      <c r="X13" s="6"/>
      <c r="AA13" s="2"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420"/>
      <c r="J14" s="16"/>
      <c r="K14" s="1039" t="s">
        <v>13</v>
      </c>
      <c r="L14" s="1035" t="s">
        <v>14</v>
      </c>
      <c r="M14" s="1036"/>
      <c r="N14" s="1037"/>
      <c r="O14" s="426"/>
      <c r="P14" s="1042" t="s">
        <v>15</v>
      </c>
      <c r="Q14" s="1042"/>
      <c r="R14" s="1042"/>
      <c r="S14" s="1042" t="s">
        <v>16</v>
      </c>
      <c r="T14" s="1042"/>
      <c r="U14" s="1042"/>
      <c r="V14" s="1042"/>
    </row>
    <row r="15" spans="1:72" s="17" customFormat="1" ht="14.25" customHeight="1" x14ac:dyDescent="0.35">
      <c r="A15" s="1040" t="s">
        <v>17</v>
      </c>
      <c r="B15" s="1040" t="s">
        <v>18</v>
      </c>
      <c r="C15" s="427"/>
      <c r="D15" s="1040" t="s">
        <v>19</v>
      </c>
      <c r="E15" s="427"/>
      <c r="F15" s="1018" t="s">
        <v>20</v>
      </c>
      <c r="G15" s="1018"/>
      <c r="H15" s="1018"/>
      <c r="I15" s="421"/>
      <c r="J15" s="18"/>
      <c r="K15" s="1040"/>
      <c r="L15" s="1023" t="s">
        <v>21</v>
      </c>
      <c r="M15" s="1024"/>
      <c r="N15" s="1025"/>
      <c r="O15" s="428"/>
      <c r="P15" s="1023" t="s">
        <v>22</v>
      </c>
      <c r="Q15" s="1024"/>
      <c r="R15" s="1025"/>
      <c r="S15" s="1018" t="s">
        <v>23</v>
      </c>
      <c r="T15" s="1018" t="s">
        <v>24</v>
      </c>
      <c r="U15" s="1018" t="s">
        <v>5</v>
      </c>
      <c r="V15" s="1018" t="s">
        <v>25</v>
      </c>
    </row>
    <row r="16" spans="1:72" s="17" customFormat="1" ht="63" customHeight="1" thickBot="1" x14ac:dyDescent="0.4">
      <c r="A16" s="1043"/>
      <c r="B16" s="1043"/>
      <c r="C16" s="422" t="s">
        <v>96</v>
      </c>
      <c r="D16" s="1043"/>
      <c r="E16" s="422" t="s">
        <v>97</v>
      </c>
      <c r="F16" s="18" t="s">
        <v>26</v>
      </c>
      <c r="G16" s="421" t="s">
        <v>96</v>
      </c>
      <c r="H16" s="18" t="s">
        <v>10</v>
      </c>
      <c r="I16" s="421" t="s">
        <v>96</v>
      </c>
      <c r="J16" s="18" t="s">
        <v>27</v>
      </c>
      <c r="K16" s="1041"/>
      <c r="L16" s="18" t="s">
        <v>26</v>
      </c>
      <c r="M16" s="18" t="s">
        <v>10</v>
      </c>
      <c r="N16" s="20" t="s">
        <v>27</v>
      </c>
      <c r="O16" s="422" t="s">
        <v>100</v>
      </c>
      <c r="P16" s="18" t="s">
        <v>28</v>
      </c>
      <c r="Q16" s="18" t="s">
        <v>24</v>
      </c>
      <c r="R16" s="18" t="s">
        <v>29</v>
      </c>
      <c r="S16" s="1018"/>
      <c r="T16" s="1018"/>
      <c r="U16" s="1018"/>
      <c r="V16" s="1018"/>
    </row>
    <row r="17" spans="1:70" ht="176.25" customHeight="1" x14ac:dyDescent="0.35">
      <c r="A17" s="430" t="s">
        <v>253</v>
      </c>
      <c r="B17" s="431" t="s">
        <v>254</v>
      </c>
      <c r="C17" s="432" t="s">
        <v>255</v>
      </c>
      <c r="D17" s="433" t="s">
        <v>256</v>
      </c>
      <c r="E17" s="434" t="s">
        <v>106</v>
      </c>
      <c r="F17" s="435">
        <v>5</v>
      </c>
      <c r="G17" s="436" t="s">
        <v>257</v>
      </c>
      <c r="H17" s="437">
        <v>5</v>
      </c>
      <c r="I17" s="438" t="s">
        <v>122</v>
      </c>
      <c r="J17" s="439" t="s">
        <v>53</v>
      </c>
      <c r="K17" s="440" t="s">
        <v>258</v>
      </c>
      <c r="L17" s="1065" t="s">
        <v>26</v>
      </c>
      <c r="M17" s="1066"/>
      <c r="N17" s="441" t="s">
        <v>49</v>
      </c>
      <c r="O17" s="442" t="s">
        <v>259</v>
      </c>
      <c r="P17" s="23" t="s">
        <v>68</v>
      </c>
      <c r="Q17" s="582" t="s">
        <v>374</v>
      </c>
      <c r="R17" s="23" t="s">
        <v>69</v>
      </c>
      <c r="S17" s="583" t="s">
        <v>642</v>
      </c>
      <c r="T17" s="466" t="s">
        <v>269</v>
      </c>
      <c r="U17" s="584" t="s">
        <v>268</v>
      </c>
      <c r="V17" s="28"/>
      <c r="X17" s="28" t="str">
        <f>IF(AND(F17=1,H17=5),$H$27,IF(AND(F17=1,H17=10),$J$27,IF(AND(F17=1,H17=20),$K$27," ")))</f>
        <v xml:space="preserve"> </v>
      </c>
      <c r="Y17" s="28" t="str">
        <f>IF(AND(F17=2,H17=5),$H$28,IF(AND(F17=2,H17=10),$J$28,IF(AND(F17=2,H17=20),$K$28," ")))</f>
        <v xml:space="preserve"> </v>
      </c>
      <c r="Z17" s="28" t="str">
        <f>IF(AND(F17=3,H17=5),$H$29,IF(AND(F17=3,H17=10),$J$29,IF(AND(F17=3,H17=20),$K$29," ")))</f>
        <v xml:space="preserve"> </v>
      </c>
      <c r="AA17" s="28" t="str">
        <f>IF(AND(F17=4,H17=5),$H$30,IF(AND(F17=4,H17=10),$J$30,IF(AND(F17=4,H17=20),$K$30," ")))</f>
        <v xml:space="preserve"> </v>
      </c>
      <c r="AB17" s="28" t="str">
        <f>IF(AND(F17=5,H17=5),$H$31,IF(AND(F17=5,H17=10),$J$31,IF(AND(F17=5,H17=20),$K$31," ")))</f>
        <v>M</v>
      </c>
      <c r="AD17" s="29" t="s">
        <v>31</v>
      </c>
      <c r="AE17" s="28" t="str">
        <f>IF(AND(L17&gt;0,'[19]EvaluaciónRiesgoCorrup 1'!$F$11&gt;75,F17=1,H17=5),$H$27,IF(AND(L17&gt;0,'[19]EvaluaciónRiesgoCorrup 1'!$F$11&gt;75,F17=1,H17=10),$J$27,IF(AND(L17&gt;0,'[19]EvaluaciónRiesgoCorrup 1'!$F$11&gt;75,F17=1,H17=20),$K$27," ")))</f>
        <v xml:space="preserve"> </v>
      </c>
      <c r="AF17" s="28" t="str">
        <f>IF(AND(L17&gt;0,'[19]EvaluaciónRiesgoCorrup 1'!$F$11&gt;75,F17=2,H17=5),$H$27,IF(AND(L17&gt;0,'[19]EvaluaciónRiesgoCorrup 1'!$F$11&gt;75,F17=2,H17=10),$J$27,IF(AND(L17&gt;0,'[19]EvaluaciónRiesgoCorrup 1'!$F$11&gt;75,F17=2,H17=20),$K$27," ")))</f>
        <v xml:space="preserve"> </v>
      </c>
      <c r="AG17" s="28" t="str">
        <f>IF(AND(L17&gt;0,'[19]EvaluaciónRiesgoCorrup 1'!$F$11&gt;75,F17=3,H17=5),$H$27,IF(AND(L17&gt;0,'[19]EvaluaciónRiesgoCorrup 1'!$F$11&gt;75,F17=3,H17=10),$J$27,IF(AND(L17&gt;0,'[19]EvaluaciónRiesgoCorrup 1'!$F$11&gt;75,F17=3,H17=20),$K$27," ")))</f>
        <v xml:space="preserve"> </v>
      </c>
      <c r="AH17" s="28" t="str">
        <f>IF(AND(L17&gt;0,'[19]EvaluaciónRiesgoCorrup 1'!$F$11&gt;75,F17=4,H17=5),$H$28,IF(AND(L17&gt;0,'[19]EvaluaciónRiesgoCorrup 1'!$F$11&gt;75,F17=4,H17=10),$J$28,IF(AND(L17&gt;0,'[19]EvaluaciónRiesgoCorrup 1'!$F$11&gt;75,F17=4,H17=20),$K$28," ")))</f>
        <v xml:space="preserve"> </v>
      </c>
      <c r="AI17" s="28" t="str">
        <f>IF(AND(L17&gt;0,'[19]EvaluaciónRiesgoCorrup 1'!$F$11&gt;75,F17=5,H17=5),$H$29,IF(AND(L17&gt;0,'[19]EvaluaciónRiesgoCorrup 1'!$F$11&gt;75,F17=5,H17=10),$J$29,IF(AND(L17&gt;0,'[19]EvaluaciónRiesgoCorrup 1'!$F$11&gt;75,F17=5,H17=20),$K$29," ")))</f>
        <v>M</v>
      </c>
      <c r="AJ17" s="29" t="s">
        <v>32</v>
      </c>
      <c r="AK17" s="28" t="str">
        <f>IF(AND(L17&gt;0,'[19]EvaluaciónRiesgoCorrup 1'!$F$11&gt;50,'[19]EvaluaciónRiesgoCorrup 1'!$F$11&lt;76,F17=1,H17=5),$H$27,IF(AND(L17&gt;0,'[19]EvaluaciónRiesgoCorrup 1'!$F$11&gt;50,'[19]EvaluaciónRiesgoCorrup 1'!$F$11&lt;76,F17=1,H17=10),$J$27,IF(AND(L17&gt;0,'[19]EvaluaciónRiesgoCorrup 1'!$F$11&gt;50,'[19]EvaluaciónRiesgoCorrup 1'!$F$11&lt;76,F17=1,H17=20),$K$27," ")))</f>
        <v xml:space="preserve"> </v>
      </c>
      <c r="AL17" s="28" t="str">
        <f>IF(AND(L17&gt;0,'[19]EvaluaciónRiesgoCorrup 1'!$F$11&gt;50,'[19]EvaluaciónRiesgoCorrup 1'!$F$11&lt;76,F17=2,H17=5),$H$27,IF(AND(L17&gt;0,'[19]EvaluaciónRiesgoCorrup 1'!$F$11&gt;50,'[19]EvaluaciónRiesgoCorrup 1'!$F$11&lt;76,F17=2,H17=10),$J$27,IF(AND(L17&gt;0,'[19]EvaluaciónRiesgoCorrup 1'!$F$11&gt;50,'[19]EvaluaciónRiesgoCorrup 1'!$F$11&lt;76,F17=2,H17=20),$K$27," ")))</f>
        <v xml:space="preserve"> </v>
      </c>
      <c r="AM17" s="28" t="str">
        <f>IF(AND(L17&gt;0,'[19]EvaluaciónRiesgoCorrup 1'!$F$11&gt;50,'[19]EvaluaciónRiesgoCorrup 1'!$F$11&lt;76,F17=3,H17=5),$H$28,IF(AND(L17&gt;0,'[19]EvaluaciónRiesgoCorrup 1'!$F$11&gt;50,'[19]EvaluaciónRiesgoCorrup 1'!$F$11&lt;76,F17=3,H17=10),$J$28,IF(AND(L17&gt;0,'[19]EvaluaciónRiesgoCorrup 1'!$F$11&gt;50,'[19]EvaluaciónRiesgoCorrup 1'!$F$11&lt;76,F17=3,H17=20),$K$28," ")))</f>
        <v xml:space="preserve"> </v>
      </c>
      <c r="AN17" s="28" t="str">
        <f>IF(AND(L17&gt;0,'[19]EvaluaciónRiesgoCorrup 1'!$F$11&gt;50,'[19]EvaluaciónRiesgoCorrup 1'!$F$11&lt;76,F17=4,H17=5),$H$29,IF(AND(L17&gt;0,'[19]EvaluaciónRiesgoCorrup 1'!$F$11&gt;50,'[19]EvaluaciónRiesgoCorrup 1'!$F$11&lt;76,F17=4,H17=10),$J$29,IF(AND(L17&gt;0,'[19]EvaluaciónRiesgoCorrup 1'!$F$11&gt;50,'[19]EvaluaciónRiesgoCorrup 1'!$F$11&lt;76,F17=4,H17=20),$K$29," ")))</f>
        <v xml:space="preserve"> </v>
      </c>
      <c r="AO17" s="28" t="str">
        <f>IF(AND(L17&gt;0,'[19]EvaluaciónRiesgoCorrup 1'!$F$11&gt;50,'[19]EvaluaciónRiesgoCorrup 1'!$F$11&lt;76,F17=5,H17=5),$H$30,IF(AND(L17&gt;0,'[19]EvaluaciónRiesgoCorrup 1'!$F$11&gt;50,'[19]EvaluaciónRiesgoCorrup 1'!$F$11&lt;76,F17=5,H17=10),$J$30,IF(AND(L17&gt;0,'[19]EvaluaciónRiesgoCorrup 1'!$F$11&gt;50,'[19]EvaluaciónRiesgoCorrup 1'!$F$11&lt;76,F17=5,H17=20),$K$30," ")))</f>
        <v xml:space="preserve"> </v>
      </c>
      <c r="AQ17" s="29" t="s">
        <v>33</v>
      </c>
      <c r="AR17" s="28" t="str">
        <f>IF(AND(L17&gt;0,'[19]EvaluaciónRiesgoCorrup 1'!$F$11&lt;51,F17=1,H17=5),$H$27,IF(AND(L17&gt;0,'[19]EvaluaciónRiesgoCorrup 1'!$F$11&lt;51,F17=1,H17=10),$J$27,IF(AND(L17&gt;0,'[19]EvaluaciónRiesgoCorrup 1'!$F$11&lt;51,F17=1,H17=20),K$27," ")))</f>
        <v xml:space="preserve"> </v>
      </c>
      <c r="AS17" s="28" t="str">
        <f>IF(AND(L17&gt;0,'[19]EvaluaciónRiesgoCorrup 1'!$F$11&lt;51,F17=2,H17=5),$H$28,IF(AND(L17&gt;0,'[19]EvaluaciónRiesgoCorrup 1'!$F$11&lt;51,F17=2,H17=10),$J$28,IF(AND(L17&gt;0,'[19]EvaluaciónRiesgoCorrup 1'!$F$11&lt;51,F17=2,H17=20),K$28," ")))</f>
        <v xml:space="preserve"> </v>
      </c>
      <c r="AT17" s="28" t="str">
        <f>IF(AND(L17&gt;0,'[19]EvaluaciónRiesgoCorrup 1'!$F$11&lt;51,F17=3,H17=5),$H$29,IF(AND(L17&gt;0,'[19]EvaluaciónRiesgoCorrup 1'!$F$11&lt;51,F17=3,H17=10),$J$29,IF(AND(L17&gt;0,'[19]EvaluaciónRiesgoCorrup 1'!$F$11&lt;51,F17=3,H17=20),K$29," ")))</f>
        <v xml:space="preserve"> </v>
      </c>
      <c r="AU17" s="28" t="str">
        <f>IF(AND(L17&gt;0,'[19]EvaluaciónRiesgoCorrup 1'!$F$11&lt;51,F17=4,H17=5),$H$30,IF(AND(L17&gt;0,'[19]EvaluaciónRiesgoCorrup 1'!$F$11&lt;51,F17=4,H17=10),$J$30,IF(AND(L17&gt;0,'[19]EvaluaciónRiesgoCorrup 1'!$F$11&lt;51,F17=4,H17=20),K$30," ")))</f>
        <v xml:space="preserve"> </v>
      </c>
      <c r="AV17" s="28" t="str">
        <f>IF(AND(L17&gt;0,'[19]EvaluaciónRiesgoCorrup 1'!$F$11&lt;51,F17=5,H17=5),$H$31,IF(AND(L17&gt;0,'[19]EvaluaciónRiesgoCorrup 1'!$F$11&lt;51,F17=5,H17=10),$J$31,IF(AND(L17&gt;0,'[19]EvaluaciónRiesgoCorrup 1'!$F$11&lt;51,F17=5,H17=20),K$31," ")))</f>
        <v xml:space="preserve"> </v>
      </c>
      <c r="AY17" s="29" t="s">
        <v>31</v>
      </c>
      <c r="AZ17" s="28" t="str">
        <f>IF(AND(M17&gt;0,'[19]EvaluaciónRiesgoCorrup 1'!$F$11&gt;75,F17=1,H17=5),$H$27,IF(AND(M17&gt;0,'[19]EvaluaciónRiesgoCorrup 1'!$F$11&gt;75,F17=1,H17=10),$H$27,IF(AND(M17&gt;0,'[19]EvaluaciónRiesgoCorrup 1'!$F$11&gt;75,F17=1,H17=20),$H$27," ")))</f>
        <v xml:space="preserve"> </v>
      </c>
      <c r="BA17" s="28" t="str">
        <f>IF(AND(M17&gt;0,'[19]EvaluaciónRiesgoCorrup 1'!$F$11&gt;75,F17=2,H17=5),$H$28,IF(AND(M17&gt;0,'[19]EvaluaciónRiesgoCorrup 1'!$F$11&gt;75,F17=2,H17=10),$H$28,IF(AND(M17&gt;0,'[19]EvaluaciónRiesgoCorrup 1'!$F$11&gt;75,F17=2,H17=20),$H$28," ")))</f>
        <v xml:space="preserve"> </v>
      </c>
      <c r="BB17" s="28" t="str">
        <f>IF(AND(M17&gt;0,'[19]EvaluaciónRiesgoCorrup 1'!$F$11&gt;75,F17=3,H17=5),$H$29,IF(AND(M17&gt;0,'[19]EvaluaciónRiesgoCorrup 1'!$F$11&gt;75,F17=3,H17=10),$H$29,IF(AND(M17&gt;0,'[19]EvaluaciónRiesgoCorrup 1'!$F$11&gt;75,F17=3,H17=20),$H$29," ")))</f>
        <v xml:space="preserve"> </v>
      </c>
      <c r="BC17" s="28" t="str">
        <f>IF(AND(M17&gt;0,'[19]EvaluaciónRiesgoCorrup 1'!$F$11&gt;75,F17=4,H17=5),$H$30,IF(AND(M17&gt;0,'[19]EvaluaciónRiesgoCorrup 1'!$F$11&gt;75,F17=4,H17=10),$H$30,IF(AND(M17&gt;0,'[19]EvaluaciónRiesgoCorrup 1'!$F$11&gt;75,F17=4,H17=20),$H$30," ")))</f>
        <v xml:space="preserve"> </v>
      </c>
      <c r="BD17" s="28" t="str">
        <f>IF(AND(M17&gt;0,'[19]EvaluaciónRiesgoCorrup 1'!$F$11&gt;75,F17=5,H17=5),$H$31,IF(AND(M17&gt;0,'[19]EvaluaciónRiesgoCorrup 1'!$F$11&gt;75,F17=5,H17=10),$H$31,IF(AND(M17&gt;0,'[19]EvaluaciónRiesgoCorrup 1'!$F$11&gt;75,F17=5,H17=20),$H$31," ")))</f>
        <v xml:space="preserve"> </v>
      </c>
      <c r="BF17" s="29" t="s">
        <v>32</v>
      </c>
      <c r="BG17" s="28" t="str">
        <f>IF(AND(M17&gt;0,'[19]EvaluaciónRiesgoCorrup 1'!$F$11&gt;50,'[19]EvaluaciónRiesgoCorrup 1'!$F$11&lt;76,F17=1,H17=5),$H$27,IF(AND(M17&gt;0,'[19]EvaluaciónRiesgoCorrup 1'!$F$11&gt;50,'[19]EvaluaciónRiesgoCorrup 1'!$F$11&lt;76,F17=1,H17=10),$H$27,IF(AND(M17&gt;0,'[19]EvaluaciónRiesgoCorrup 1'!$F$11&gt;50,'[19]EvaluaciónRiesgoCorrup 1'!$F$11&lt;76,F17=1,H17=20),$J$27," ")))</f>
        <v xml:space="preserve"> </v>
      </c>
      <c r="BH17" s="28" t="str">
        <f>IF(AND(M17&gt;0,'[19]EvaluaciónRiesgoCorrup 1'!$F$11&gt;50,'[19]EvaluaciónRiesgoCorrup 1'!$F$11&lt;76,F17=2,H17=5),$H$28,IF(AND(M17&gt;0,'[19]EvaluaciónRiesgoCorrup 1'!$F$11&gt;50,'[19]EvaluaciónRiesgoCorrup 1'!$F$11&lt;76,F17=2,H17=10),$H$28,IF(AND(M17&gt;0,'[19]EvaluaciónRiesgoCorrup 1'!$F$11&gt;50,'[19]EvaluaciónRiesgoCorrup 1'!$F$11&lt;76,F17=2,H17=20),$J$28," ")))</f>
        <v xml:space="preserve"> </v>
      </c>
      <c r="BI17" s="28" t="str">
        <f>IF(AND(M17&gt;0,'[19]EvaluaciónRiesgoCorrup 1'!$F$11&gt;50,'[19]EvaluaciónRiesgoCorrup 1'!$F$11&lt;76,F17=3,H17=5),$H$29,IF(AND(M17&gt;0,'[19]EvaluaciónRiesgoCorrup 1'!$F$11&gt;50,'[19]EvaluaciónRiesgoCorrup 1'!$F$11&lt;76,F17=3,H17=10),$H$29,IF(AND(M17&gt;0,'[19]EvaluaciónRiesgoCorrup 1'!$F$11&gt;50,'[19]EvaluaciónRiesgoCorrup 1'!$F$11&lt;76,F17=3,H17=20),$J$29," ")))</f>
        <v xml:space="preserve"> </v>
      </c>
      <c r="BJ17" s="28" t="str">
        <f>IF(AND(M17&gt;0,'[19]EvaluaciónRiesgoCorrup 1'!$F$11&gt;50,'[19]EvaluaciónRiesgoCorrup 1'!$F$11&lt;76,F17=4,H17=5),$H$30,IF(AND(M17&gt;0,'[19]EvaluaciónRiesgoCorrup 1'!$F$11&gt;50,'[19]EvaluaciónRiesgoCorrup 1'!$F$11&lt;76,F17=4,H17=10),$H$30,IF(AND(M17&gt;0,'[19]EvaluaciónRiesgoCorrup 1'!$F$11&gt;50,'[19]EvaluaciónRiesgoCorrup 1'!$F$11&lt;76,F17=4,H17=20),$J$30," ")))</f>
        <v xml:space="preserve"> </v>
      </c>
      <c r="BK17" s="28" t="str">
        <f>IF(AND(M17&gt;0,'[19]EvaluaciónRiesgoCorrup 1'!$F$11&gt;50,'[19]EvaluaciónRiesgoCorrup 1'!$F$11&lt;76,F17=5,H17=5),$H$31,IF(AND(M17&gt;0,'[19]EvaluaciónRiesgoCorrup 1'!$F$11&gt;50,'[19]EvaluaciónRiesgoCorrup 1'!$F$11&lt;76,F17=5,H17=10),$H$31,IF(AND(M17&gt;0,'[19]EvaluaciónRiesgoCorrup 1'!$F$11&gt;50,'[19]EvaluaciónRiesgoCorrup 1'!$F$11&lt;76,F17=5,H17=20),$J$31," ")))</f>
        <v xml:space="preserve"> </v>
      </c>
      <c r="BM17" s="29" t="s">
        <v>33</v>
      </c>
      <c r="BN17" s="28" t="str">
        <f>IF(AND(M17&gt;0,'[19]EvaluaciónRiesgoCorrup 1'!$F$11&lt;51,F17=1,H17=5),$H$27,IF(AND(M17&gt;0,'[19]EvaluaciónRiesgoCorrup 1'!$F$11&lt;51,F17=1,H17=10),$J$27,IF(AND(M17&gt;0,'[19]EvaluaciónRiesgoCorrup 1'!$F$11&lt;51,F17=1,H17=20),$K$27," ")))</f>
        <v xml:space="preserve"> </v>
      </c>
      <c r="BO17" s="28" t="str">
        <f>IF(AND(M17&gt;0,'[19]EvaluaciónRiesgoCorrup 1'!$F$11&lt;51,F17=2,H17=5),$H$28,IF(AND(M17&gt;0,'[19]EvaluaciónRiesgoCorrup 1'!$F$11&lt;51,F17=2,H17=10),$J$28,IF(AND(M17&gt;0,'[19]EvaluaciónRiesgoCorrup 1'!$F$11&lt;51,F17=2,H17=20),$K$28," ")))</f>
        <v xml:space="preserve"> </v>
      </c>
      <c r="BP17" s="28" t="str">
        <f>IF(AND(M17&gt;0,'[19]EvaluaciónRiesgoCorrup 1'!$F$11&lt;51,F17=3,H17=5),$H$29,IF(AND(M17&gt;0,'[19]EvaluaciónRiesgoCorrup 1'!$F$11&lt;51,F17=3,H17=10),$J$29,IF(AND(M17&gt;0,'[19]EvaluaciónRiesgoCorrup 1'!$F$11&lt;51,F17=3,H17=20),$K$29," ")))</f>
        <v xml:space="preserve"> </v>
      </c>
      <c r="BQ17" s="28" t="str">
        <f>IF(AND(M17&gt;0,'[19]EvaluaciónRiesgoCorrup 1'!$F$11&lt;51,F17=4,H17=5),$H$30,IF(AND(M17&gt;0,'[19]EvaluaciónRiesgoCorrup 1'!$F$11&lt;51,F17=4,H17=10),$J$30,IF(AND(M17&gt;0,'[19]EvaluaciónRiesgoCorrup 1'!$F$11&lt;51,F17=4,H17=20),$K$30," ")))</f>
        <v xml:space="preserve"> </v>
      </c>
      <c r="BR17" s="28" t="str">
        <f>IF(AND(M17&gt;0,'[19]EvaluaciónRiesgoCorrup 1'!$F$11&lt;51,F17=5,H17=5),$H$31,IF(AND(M17&gt;0,'[19]EvaluaciónRiesgoCorrup 1'!$F$11&lt;51,F17=5,H17=10),$J$31,IF(AND(M17&gt;0,'[19]EvaluaciónRiesgoCorrup 1'!$F$11&lt;51,F17=5,H17=20),$K$31," ")))</f>
        <v xml:space="preserve"> </v>
      </c>
    </row>
    <row r="18" spans="1:70" ht="219" customHeight="1" thickBot="1" x14ac:dyDescent="0.4">
      <c r="A18" s="449" t="s">
        <v>260</v>
      </c>
      <c r="B18" s="450" t="s">
        <v>261</v>
      </c>
      <c r="C18" s="451" t="s">
        <v>262</v>
      </c>
      <c r="D18" s="452" t="s">
        <v>263</v>
      </c>
      <c r="E18" s="453" t="s">
        <v>106</v>
      </c>
      <c r="F18" s="454">
        <v>3</v>
      </c>
      <c r="G18" s="455" t="s">
        <v>107</v>
      </c>
      <c r="H18" s="456">
        <v>2</v>
      </c>
      <c r="I18" s="457" t="s">
        <v>169</v>
      </c>
      <c r="J18" s="458" t="s">
        <v>49</v>
      </c>
      <c r="K18" s="459" t="s">
        <v>264</v>
      </c>
      <c r="L18" s="1065" t="s">
        <v>26</v>
      </c>
      <c r="M18" s="1066"/>
      <c r="N18" s="460" t="s">
        <v>48</v>
      </c>
      <c r="O18" s="461" t="s">
        <v>154</v>
      </c>
      <c r="P18" s="462" t="s">
        <v>265</v>
      </c>
      <c r="Q18" s="463" t="s">
        <v>266</v>
      </c>
      <c r="R18" s="464" t="s">
        <v>267</v>
      </c>
      <c r="S18" s="583" t="s">
        <v>643</v>
      </c>
      <c r="T18" s="585" t="s">
        <v>375</v>
      </c>
      <c r="U18" s="465" t="s">
        <v>268</v>
      </c>
      <c r="V18" s="28"/>
      <c r="X18" s="28" t="str">
        <f>IF(AND(F18=1,H18=5),$H$27,IF(AND(F18=1,H18=10),$J$27,IF(AND(F18=1,H18=20),$K$27," ")))</f>
        <v xml:space="preserve"> </v>
      </c>
      <c r="Y18" s="28" t="str">
        <f>IF(AND(F18=2,H18=5),$H$28,IF(AND(F18=2,H18=10),$J$28,IF(AND(F18=2,H18=20),$K$28," ")))</f>
        <v xml:space="preserve"> </v>
      </c>
      <c r="Z18" s="28" t="str">
        <f>IF(AND(F18=3,H18=5),$H$29,IF(AND(F18=3,H18=10),$J$29,IF(AND(F18=3,H18=20),$K$29," ")))</f>
        <v xml:space="preserve"> </v>
      </c>
      <c r="AA18" s="28" t="str">
        <f>IF(AND(F18=4,H18=5),$H$30,IF(AND(F18=4,H18=10),$J$30,IF(AND(F18=4,H18=20),$K$30," ")))</f>
        <v xml:space="preserve"> </v>
      </c>
      <c r="AB18" s="28" t="str">
        <f>IF(AND(F18=5,H18=5),$H$31,IF(AND(F18=5,H18=10),$J$31,IF(AND(F18=5,H18=20),$K$31," ")))</f>
        <v xml:space="preserve"> </v>
      </c>
      <c r="AE18" s="28" t="str">
        <f>IF(AND(L18&gt;0,'[19]EvaluaciónRiesgoCorrup 1'!$F$11&gt;75,F18=1,H18=5),$H$27,IF(AND(L18&gt;0,'[19]EvaluaciónRiesgoCorrup 1'!$F$11&gt;75,F18=1,H18=10),$J$27,IF(AND(L18&gt;0,'[19]EvaluaciónRiesgoCorrup 1'!$F$11&gt;75,F18=1,H18=20),$K$27," ")))</f>
        <v xml:space="preserve"> </v>
      </c>
      <c r="AF18" s="28" t="str">
        <f>IF(AND(L18&gt;0,'[19]EvaluaciónRiesgoCorrup 1'!$F$11&gt;75,F18=2,H18=5),$H$27,IF(AND(L18&gt;0,'[19]EvaluaciónRiesgoCorrup 1'!$F$11&gt;75,F18=2,H18=10),$J$27,IF(AND(L18&gt;0,'[19]EvaluaciónRiesgoCorrup 1'!$F$11&gt;75,F18=2,H18=20),$K$27," ")))</f>
        <v xml:space="preserve"> </v>
      </c>
      <c r="AG18" s="28" t="str">
        <f>IF(AND(L18&gt;0,'[19]EvaluaciónRiesgoCorrup 1'!$F$11&gt;75,F18=3,H18=5),$H$27,IF(AND(L18&gt;0,'[19]EvaluaciónRiesgoCorrup 1'!$F$11&gt;75,F18=3,H18=10),$J$27,IF(AND(L18&gt;0,'[19]EvaluaciónRiesgoCorrup 1'!$F$11&gt;75,F18=3,H18=20),$K$27," ")))</f>
        <v xml:space="preserve"> </v>
      </c>
      <c r="AH18" s="28" t="str">
        <f>IF(AND(L18&gt;0,'[19]EvaluaciónRiesgoCorrup 1'!$F$11&gt;75,F18=4,H18=5),$H$28,IF(AND(L18&gt;0,'[19]EvaluaciónRiesgoCorrup 1'!$F$11&gt;75,F18=4,H18=10),$J$28,IF(AND(L18&gt;0,'[19]EvaluaciónRiesgoCorrup 1'!$F$11&gt;75,F18=4,H18=20),$K$28," ")))</f>
        <v xml:space="preserve"> </v>
      </c>
      <c r="AI18" s="28" t="str">
        <f>IF(AND(L18&gt;0,'[19]EvaluaciónRiesgoCorrup 1'!$F$11&gt;75,F18=5,H18=5),$H$29,IF(AND(L18&gt;0,'[19]EvaluaciónRiesgoCorrup 1'!$F$11&gt;75,F18=5,H18=10),$J$29,IF(AND(L18&gt;0,'[19]EvaluaciónRiesgoCorrup 1'!$F$11&gt;75,F18=5,H18=20),$K$29," ")))</f>
        <v xml:space="preserve"> </v>
      </c>
      <c r="AK18" s="28" t="str">
        <f>IF(AND(L18&gt;0,'[19]EvaluaciónRiesgoCorrup 1'!$F$11&gt;50,'[19]EvaluaciónRiesgoCorrup 1'!$F$11&lt;76,F18=1,H18=5),$H$27,IF(AND(L18&gt;0,'[19]EvaluaciónRiesgoCorrup 1'!$F$11&gt;50,'[19]EvaluaciónRiesgoCorrup 1'!$F$11&lt;76,F18=1,H18=10),$J$27,IF(AND(L18&gt;0,'[19]EvaluaciónRiesgoCorrup 1'!$F$11&gt;50,'[19]EvaluaciónRiesgoCorrup 1'!$F$11&lt;76,F18=1,H18=20),$K$27," ")))</f>
        <v xml:space="preserve"> </v>
      </c>
      <c r="AL18" s="28" t="str">
        <f>IF(AND(L18&gt;0,'[19]EvaluaciónRiesgoCorrup 1'!$F$11&gt;50,'[19]EvaluaciónRiesgoCorrup 1'!$F$11&lt;76,F18=2,H18=5),$H$27,IF(AND(L18&gt;0,'[19]EvaluaciónRiesgoCorrup 1'!$F$11&gt;50,'[19]EvaluaciónRiesgoCorrup 1'!$F$11&lt;76,F18=2,H18=10),$J$27,IF(AND(L18&gt;0,'[19]EvaluaciónRiesgoCorrup 1'!$F$11&gt;50,'[19]EvaluaciónRiesgoCorrup 1'!$F$11&lt;76,F18=2,H18=20),$K$27," ")))</f>
        <v xml:space="preserve"> </v>
      </c>
      <c r="AM18" s="28" t="str">
        <f>IF(AND(L18&gt;0,'[19]EvaluaciónRiesgoCorrup 1'!$F$11&gt;50,'[19]EvaluaciónRiesgoCorrup 1'!$F$11&lt;76,F18=3,H18=5),$H$28,IF(AND(L18&gt;0,'[19]EvaluaciónRiesgoCorrup 1'!$F$11&gt;50,'[19]EvaluaciónRiesgoCorrup 1'!$F$11&lt;76,F18=3,H18=10),$J$28,IF(AND(L18&gt;0,'[19]EvaluaciónRiesgoCorrup 1'!$F$11&gt;50,'[19]EvaluaciónRiesgoCorrup 1'!$F$11&lt;76,F18=3,H18=20),$K$28," ")))</f>
        <v xml:space="preserve"> </v>
      </c>
      <c r="AN18" s="28" t="str">
        <f>IF(AND(L18&gt;0,'[19]EvaluaciónRiesgoCorrup 1'!$F$11&gt;50,'[19]EvaluaciónRiesgoCorrup 1'!$F$11&lt;76,F18=4,H18=5),$H$29,IF(AND(L18&gt;0,'[19]EvaluaciónRiesgoCorrup 1'!$F$11&gt;50,'[19]EvaluaciónRiesgoCorrup 1'!$F$11&lt;76,F18=4,H18=10),$J$29,IF(AND(L18&gt;0,'[19]EvaluaciónRiesgoCorrup 1'!$F$11&gt;50,'[19]EvaluaciónRiesgoCorrup 1'!$F$11&lt;76,F18=4,H18=20),$K$29," ")))</f>
        <v xml:space="preserve"> </v>
      </c>
      <c r="AO18" s="28" t="str">
        <f>IF(AND(L18&gt;0,'[19]EvaluaciónRiesgoCorrup 1'!$F$11&gt;50,'[19]EvaluaciónRiesgoCorrup 1'!$F$11&lt;76,F18=5,H18=5),$H$30,IF(AND(L18&gt;0,'[19]EvaluaciónRiesgoCorrup 1'!$F$11&gt;50,'[19]EvaluaciónRiesgoCorrup 1'!$F$11&lt;76,F18=5,H18=10),$J$30,IF(AND(L18&gt;0,'[19]EvaluaciónRiesgoCorrup 1'!$F$11&gt;50,'[19]EvaluaciónRiesgoCorrup 1'!$F$11&lt;76,F18=5,H18=20),$K$30," ")))</f>
        <v xml:space="preserve"> </v>
      </c>
      <c r="AR18" s="28" t="str">
        <f>IF(AND(L18&gt;0,'[19]EvaluaciónRiesgoCorrup 1'!$F$11&lt;51,F18=1,H18=5),$H$27,IF(AND(L18&gt;0,'[19]EvaluaciónRiesgoCorrup 1'!$F$11&lt;51,F18=1,H18=10),$J$27,IF(AND(L18&gt;0,'[19]EvaluaciónRiesgoCorrup 1'!$F$11&lt;51,F18=1,H18=20),K$27," ")))</f>
        <v xml:space="preserve"> </v>
      </c>
      <c r="AS18" s="28" t="str">
        <f>IF(AND(L18&gt;0,'[19]EvaluaciónRiesgoCorrup 1'!$F$11&lt;51,F18=2,H18=5),$H$28,IF(AND(L18&gt;0,'[19]EvaluaciónRiesgoCorrup 1'!$F$11&lt;51,F18=2,H18=10),$J$28,IF(AND(L18&gt;0,'[19]EvaluaciónRiesgoCorrup 1'!$F$11&lt;51,F18=2,H18=20),K$28," ")))</f>
        <v xml:space="preserve"> </v>
      </c>
      <c r="AT18" s="28" t="str">
        <f>IF(AND(L18&gt;0,'[19]EvaluaciónRiesgoCorrup 1'!$F$11&lt;51,F18=3,H18=5),$H$29,IF(AND(L18&gt;0,'[19]EvaluaciónRiesgoCorrup 1'!$F$11&lt;51,F18=3,H18=10),$J$29,IF(AND(L18&gt;0,'[19]EvaluaciónRiesgoCorrup 1'!$F$11&lt;51,F18=3,H18=20),K$29," ")))</f>
        <v xml:space="preserve"> </v>
      </c>
      <c r="AU18" s="28" t="str">
        <f>IF(AND(L18&gt;0,'[19]EvaluaciónRiesgoCorrup 1'!$F$11&lt;51,F18=4,H18=5),$H$30,IF(AND(L18&gt;0,'[19]EvaluaciónRiesgoCorrup 1'!$F$11&lt;51,F18=4,H18=10),$J$30,IF(AND(L18&gt;0,'[19]EvaluaciónRiesgoCorrup 1'!$F$11&lt;51,F18=4,H18=20),K$30," ")))</f>
        <v xml:space="preserve"> </v>
      </c>
      <c r="AV18" s="28" t="str">
        <f>IF(AND(L18&gt;0,'[19]EvaluaciónRiesgoCorrup 1'!$F$11&lt;51,F18=5,H18=5),$H$31,IF(AND(L18&gt;0,'[19]EvaluaciónRiesgoCorrup 1'!$F$11&lt;51,F18=5,H18=10),$J$31,IF(AND(L18&gt;0,'[19]EvaluaciónRiesgoCorrup 1'!$F$11&lt;51,F18=5,H18=20),K$31," ")))</f>
        <v xml:space="preserve"> </v>
      </c>
      <c r="AZ18" s="28" t="str">
        <f>IF(AND(M18&gt;0,'[19]EvaluaciónRiesgoCorrup 1'!$F$11&gt;75,F18=1,H18=5),$H$27,IF(AND(M18&gt;0,'[19]EvaluaciónRiesgoCorrup 1'!$F$11&gt;75,F18=1,H18=10),$H$27,IF(AND(M18&gt;0,'[19]EvaluaciónRiesgoCorrup 1'!$F$11&gt;75,F18=1,H18=20),$H$27," ")))</f>
        <v xml:space="preserve"> </v>
      </c>
      <c r="BA18" s="28" t="str">
        <f>IF(AND(M18&gt;0,'[19]EvaluaciónRiesgoCorrup 1'!$F$11&gt;75,F18=2,H18=5),$H$28,IF(AND(M18&gt;0,'[19]EvaluaciónRiesgoCorrup 1'!$F$11&gt;75,F18=2,H18=10),$H$28,IF(AND(M18&gt;0,'[19]EvaluaciónRiesgoCorrup 1'!$F$11&gt;75,F18=2,H18=20),$H$28," ")))</f>
        <v xml:space="preserve"> </v>
      </c>
      <c r="BB18" s="28" t="str">
        <f>IF(AND(M18&gt;0,'[19]EvaluaciónRiesgoCorrup 1'!$F$11&gt;75,F18=3,H18=5),$H$29,IF(AND(M18&gt;0,'[19]EvaluaciónRiesgoCorrup 1'!$F$11&gt;75,F18=3,H18=10),$H$29,IF(AND(M18&gt;0,'[19]EvaluaciónRiesgoCorrup 1'!$F$11&gt;75,F18=3,H18=20),$H$29," ")))</f>
        <v xml:space="preserve"> </v>
      </c>
      <c r="BC18" s="28" t="str">
        <f>IF(AND(M18&gt;0,'[19]EvaluaciónRiesgoCorrup 1'!$F$11&gt;75,F18=4,H18=5),$H$30,IF(AND(M18&gt;0,'[19]EvaluaciónRiesgoCorrup 1'!$F$11&gt;75,F18=4,H18=10),$H$30,IF(AND(M18&gt;0,'[19]EvaluaciónRiesgoCorrup 1'!$F$11&gt;75,F18=4,H18=20),$H$30," ")))</f>
        <v xml:space="preserve"> </v>
      </c>
      <c r="BD18" s="28" t="str">
        <f>IF(AND(M18&gt;0,'[19]EvaluaciónRiesgoCorrup 1'!$F$11&gt;75,F18=5,H18=5),$H$31,IF(AND(M18&gt;0,'[19]EvaluaciónRiesgoCorrup 1'!$F$11&gt;75,F18=5,H18=10),$H$31,IF(AND(M18&gt;0,'[19]EvaluaciónRiesgoCorrup 1'!$F$11&gt;75,F18=5,H18=20),$H$31," ")))</f>
        <v xml:space="preserve"> </v>
      </c>
      <c r="BG18" s="28" t="str">
        <f>IF(AND(M18&gt;0,'[19]EvaluaciónRiesgoCorrup 1'!$F$11&gt;50,'[19]EvaluaciónRiesgoCorrup 1'!$F$11&lt;76,F18=1,H18=5),$H$27,IF(AND(M18&gt;0,'[19]EvaluaciónRiesgoCorrup 1'!$F$11&gt;50,'[19]EvaluaciónRiesgoCorrup 1'!$F$11&lt;76,F18=1,H18=10),$H$27,IF(AND(M18&gt;0,'[19]EvaluaciónRiesgoCorrup 1'!$F$11&gt;50,'[19]EvaluaciónRiesgoCorrup 1'!$F$11&lt;76,F18=1,H18=20),$J$27," ")))</f>
        <v xml:space="preserve"> </v>
      </c>
      <c r="BH18" s="28" t="str">
        <f>IF(AND(M18&gt;0,'[19]EvaluaciónRiesgoCorrup 1'!$F$11&gt;50,'[19]EvaluaciónRiesgoCorrup 1'!$F$11&lt;76,F18=2,H18=5),$H$28,IF(AND(M18&gt;0,'[19]EvaluaciónRiesgoCorrup 1'!$F$11&gt;50,'[19]EvaluaciónRiesgoCorrup 1'!$F$11&lt;76,F18=2,H18=10),$H$28,IF(AND(M18&gt;0,'[19]EvaluaciónRiesgoCorrup 1'!$F$11&gt;50,'[19]EvaluaciónRiesgoCorrup 1'!$F$11&lt;76,F18=2,H18=20),$J$28," ")))</f>
        <v xml:space="preserve"> </v>
      </c>
      <c r="BI18" s="28" t="str">
        <f>IF(AND(M18&gt;0,'[19]EvaluaciónRiesgoCorrup 1'!$F$11&gt;50,'[19]EvaluaciónRiesgoCorrup 1'!$F$11&lt;76,F18=3,H18=5),$H$29,IF(AND(M18&gt;0,'[19]EvaluaciónRiesgoCorrup 1'!$F$11&gt;50,'[19]EvaluaciónRiesgoCorrup 1'!$F$11&lt;76,F18=3,H18=10),$H$29,IF(AND(M18&gt;0,'[19]EvaluaciónRiesgoCorrup 1'!$F$11&gt;50,'[19]EvaluaciónRiesgoCorrup 1'!$F$11&lt;76,F18=3,H18=20),$J$29," ")))</f>
        <v xml:space="preserve"> </v>
      </c>
      <c r="BJ18" s="28" t="str">
        <f>IF(AND(M18&gt;0,'[19]EvaluaciónRiesgoCorrup 1'!$F$11&gt;50,'[19]EvaluaciónRiesgoCorrup 1'!$F$11&lt;76,F18=4,H18=5),$H$30,IF(AND(M18&gt;0,'[19]EvaluaciónRiesgoCorrup 1'!$F$11&gt;50,'[19]EvaluaciónRiesgoCorrup 1'!$F$11&lt;76,F18=4,H18=10),$H$30,IF(AND(M18&gt;0,'[19]EvaluaciónRiesgoCorrup 1'!$F$11&gt;50,'[19]EvaluaciónRiesgoCorrup 1'!$F$11&lt;76,F18=4,H18=20),$J$30," ")))</f>
        <v xml:space="preserve"> </v>
      </c>
      <c r="BK18" s="28" t="str">
        <f>IF(AND(M18&gt;0,'[19]EvaluaciónRiesgoCorrup 1'!$F$11&gt;50,'[19]EvaluaciónRiesgoCorrup 1'!$F$11&lt;76,F18=5,H18=5),$H$31,IF(AND(M18&gt;0,'[19]EvaluaciónRiesgoCorrup 1'!$F$11&gt;50,'[19]EvaluaciónRiesgoCorrup 1'!$F$11&lt;76,F18=5,H18=10),$H$31,IF(AND(M18&gt;0,'[19]EvaluaciónRiesgoCorrup 1'!$F$11&gt;50,'[19]EvaluaciónRiesgoCorrup 1'!$F$11&lt;76,F18=5,H18=20),$J$31," ")))</f>
        <v xml:space="preserve"> </v>
      </c>
      <c r="BN18" s="28" t="str">
        <f>IF(AND(M18&gt;0,'[19]EvaluaciónRiesgoCorrup 1'!$F$11&lt;51,F18=1,H18=5),$H$27,IF(AND(M18&gt;0,'[19]EvaluaciónRiesgoCorrup 1'!$F$11&lt;51,F18=1,H18=10),$J$27,IF(AND(M18&gt;0,'[19]EvaluaciónRiesgoCorrup 1'!$F$11&lt;51,F18=1,H18=20),$K$27," ")))</f>
        <v xml:space="preserve"> </v>
      </c>
      <c r="BO18" s="28" t="str">
        <f>IF(AND(M18&gt;0,'[19]EvaluaciónRiesgoCorrup 1'!$F$11&lt;51,F18=2,H18=5),$H$28,IF(AND(M18&gt;0,'[19]EvaluaciónRiesgoCorrup 1'!$F$11&lt;51,F18=2,H18=10),$J$28,IF(AND(M18&gt;0,'[19]EvaluaciónRiesgoCorrup 1'!$F$11&lt;51,F18=2,H18=20),$K$28," ")))</f>
        <v xml:space="preserve"> </v>
      </c>
      <c r="BP18" s="28" t="str">
        <f>IF(AND(M18&gt;0,'[19]EvaluaciónRiesgoCorrup 1'!$F$11&lt;51,F18=3,H18=5),$H$29,IF(AND(M18&gt;0,'[19]EvaluaciónRiesgoCorrup 1'!$F$11&lt;51,F18=3,H18=10),$J$29,IF(AND(M18&gt;0,'[19]EvaluaciónRiesgoCorrup 1'!$F$11&lt;51,F18=3,H18=20),$K$29," ")))</f>
        <v xml:space="preserve"> </v>
      </c>
      <c r="BQ18" s="28" t="str">
        <f>IF(AND(M18&gt;0,'[19]EvaluaciónRiesgoCorrup 1'!$F$11&lt;51,F18=4,H18=5),$H$30,IF(AND(M18&gt;0,'[19]EvaluaciónRiesgoCorrup 1'!$F$11&lt;51,F18=4,H18=10),$J$30,IF(AND(M18&gt;0,'[19]EvaluaciónRiesgoCorrup 1'!$F$11&lt;51,F18=4,H18=20),$K$30," ")))</f>
        <v xml:space="preserve"> </v>
      </c>
      <c r="BR18" s="28" t="str">
        <f>IF(AND(M18&gt;0,'[19]EvaluaciónRiesgoCorrup 1'!$F$11&lt;51,F18=5,H18=5),$H$31,IF(AND(M18&gt;0,'[19]EvaluaciónRiesgoCorrup 1'!$F$11&lt;51,F18=5,H18=10),$J$31,IF(AND(M18&gt;0,'[19]EvaluaciónRiesgoCorrup 1'!$F$11&lt;51,F18=5,H18=20),$K$31," ")))</f>
        <v xml:space="preserve"> </v>
      </c>
    </row>
    <row r="19" spans="1:70" ht="308.25" customHeight="1" x14ac:dyDescent="0.35">
      <c r="A19" s="467" t="s">
        <v>270</v>
      </c>
      <c r="B19" s="468" t="s">
        <v>271</v>
      </c>
      <c r="C19" s="469" t="s">
        <v>272</v>
      </c>
      <c r="D19" s="470" t="s">
        <v>273</v>
      </c>
      <c r="E19" s="471" t="s">
        <v>119</v>
      </c>
      <c r="F19" s="472">
        <v>1</v>
      </c>
      <c r="G19" s="473" t="s">
        <v>121</v>
      </c>
      <c r="H19" s="474">
        <v>20</v>
      </c>
      <c r="I19" s="475" t="s">
        <v>122</v>
      </c>
      <c r="J19" s="476" t="s">
        <v>49</v>
      </c>
      <c r="K19" s="477" t="s">
        <v>274</v>
      </c>
      <c r="L19" s="1065" t="s">
        <v>10</v>
      </c>
      <c r="M19" s="1066"/>
      <c r="N19" s="478" t="s">
        <v>49</v>
      </c>
      <c r="O19" s="479" t="s">
        <v>154</v>
      </c>
      <c r="P19" s="480" t="s">
        <v>265</v>
      </c>
      <c r="Q19" s="481" t="s">
        <v>275</v>
      </c>
      <c r="R19" s="482" t="s">
        <v>267</v>
      </c>
      <c r="S19" s="583" t="s">
        <v>643</v>
      </c>
      <c r="T19" s="585" t="s">
        <v>376</v>
      </c>
      <c r="U19" s="483" t="s">
        <v>276</v>
      </c>
      <c r="V19" s="28"/>
      <c r="X19" s="28" t="str">
        <f>IF(AND(F19=1,H19=5),$H$27,IF(AND(F19=1,H19=10),$J$27,IF(AND(F19=1,H19=20),$K$27," ")))</f>
        <v>M</v>
      </c>
      <c r="Y19" s="28" t="str">
        <f>IF(AND(F19=2,H19=5),$H$28,IF(AND(F19=2,H19=10),$J$28,IF(AND(F19=2,H19=20),$K$28," ")))</f>
        <v xml:space="preserve"> </v>
      </c>
      <c r="Z19" s="28" t="str">
        <f>IF(AND(F19=3,H19=5),$H$29,IF(AND(F19=3,H19=10),$J$29,IF(AND(F19=3,H19=20),$K$29," ")))</f>
        <v xml:space="preserve"> </v>
      </c>
      <c r="AA19" s="28" t="str">
        <f>IF(AND(F19=4,H19=5),$H$30,IF(AND(F19=4,H19=10),$J$30,IF(AND(F19=4,H19=20),$K$30," ")))</f>
        <v xml:space="preserve"> </v>
      </c>
      <c r="AB19" s="28" t="str">
        <f>IF(AND(F19=5,H19=5),$H$31,IF(AND(F19=5,H19=10),$J$31,IF(AND(F19=5,H19=20),$K$31," ")))</f>
        <v xml:space="preserve"> </v>
      </c>
      <c r="AE19" s="28" t="str">
        <f>IF(AND(L19&gt;0,'[19]EvaluaciónRiesgoCorrup 1'!$F$11&gt;75,F19=1,H19=5),$H$27,IF(AND(L19&gt;0,'[19]EvaluaciónRiesgoCorrup 1'!$F$11&gt;75,F19=1,H19=10),$J$27,IF(AND(L19&gt;0,'[19]EvaluaciónRiesgoCorrup 1'!$F$11&gt;75,F19=1,H19=20),$K$27," ")))</f>
        <v>M</v>
      </c>
      <c r="AF19" s="28" t="str">
        <f>IF(AND(L19&gt;0,'[19]EvaluaciónRiesgoCorrup 1'!$F$11&gt;75,F19=2,H19=5),$H$27,IF(AND(L19&gt;0,'[19]EvaluaciónRiesgoCorrup 1'!$F$11&gt;75,F19=2,H19=10),$J$27,IF(AND(L19&gt;0,'[19]EvaluaciónRiesgoCorrup 1'!$F$11&gt;75,F19=2,H19=20),$K$27," ")))</f>
        <v xml:space="preserve"> </v>
      </c>
      <c r="AG19" s="28" t="str">
        <f>IF(AND(L19&gt;0,'[19]EvaluaciónRiesgoCorrup 1'!$F$11&gt;75,F19=3,H19=5),$H$27,IF(AND(L19&gt;0,'[19]EvaluaciónRiesgoCorrup 1'!$F$11&gt;75,F19=3,H19=10),$J$27,IF(AND(L19&gt;0,'[19]EvaluaciónRiesgoCorrup 1'!$F$11&gt;75,F19=3,H19=20),$K$27," ")))</f>
        <v xml:space="preserve"> </v>
      </c>
      <c r="AH19" s="28" t="str">
        <f>IF(AND(L19&gt;0,'[19]EvaluaciónRiesgoCorrup 1'!$F$11&gt;75,F19=4,H19=5),$H$28,IF(AND(L19&gt;0,'[19]EvaluaciónRiesgoCorrup 1'!$F$11&gt;75,F19=4,H19=10),$J$28,IF(AND(L19&gt;0,'[19]EvaluaciónRiesgoCorrup 1'!$F$11&gt;75,F19=4,H19=20),$K$28," ")))</f>
        <v xml:space="preserve"> </v>
      </c>
      <c r="AI19" s="28" t="str">
        <f>IF(AND(L19&gt;0,'[19]EvaluaciónRiesgoCorrup 1'!$F$11&gt;75,F19=5,H19=5),$H$29,IF(AND(L19&gt;0,'[19]EvaluaciónRiesgoCorrup 1'!$F$11&gt;75,F19=5,H19=10),$J$29,IF(AND(L19&gt;0,'[19]EvaluaciónRiesgoCorrup 1'!$F$11&gt;75,F19=5,H19=20),$K$29," ")))</f>
        <v xml:space="preserve"> </v>
      </c>
      <c r="AK19" s="28" t="str">
        <f>IF(AND(L19&gt;0,'[19]EvaluaciónRiesgoCorrup 1'!$F$11&gt;50,'[19]EvaluaciónRiesgoCorrup 1'!$F$11&lt;76,F19=1,H19=5),$H$27,IF(AND(L19&gt;0,'[19]EvaluaciónRiesgoCorrup 1'!$F$11&gt;50,'[19]EvaluaciónRiesgoCorrup 1'!$F$11&lt;76,F19=1,H19=10),$J$27,IF(AND(L19&gt;0,'[19]EvaluaciónRiesgoCorrup 1'!$F$11&gt;50,'[19]EvaluaciónRiesgoCorrup 1'!$F$11&lt;76,F19=1,H19=20),$K$27," ")))</f>
        <v xml:space="preserve"> </v>
      </c>
      <c r="AL19" s="28" t="str">
        <f>IF(AND(L19&gt;0,'[19]EvaluaciónRiesgoCorrup 1'!$F$11&gt;50,'[19]EvaluaciónRiesgoCorrup 1'!$F$11&lt;76,F19=2,H19=5),$H$27,IF(AND(L19&gt;0,'[19]EvaluaciónRiesgoCorrup 1'!$F$11&gt;50,'[19]EvaluaciónRiesgoCorrup 1'!$F$11&lt;76,F19=2,H19=10),$J$27,IF(AND(L19&gt;0,'[19]EvaluaciónRiesgoCorrup 1'!$F$11&gt;50,'[19]EvaluaciónRiesgoCorrup 1'!$F$11&lt;76,F19=2,H19=20),$K$27," ")))</f>
        <v xml:space="preserve"> </v>
      </c>
      <c r="AM19" s="28" t="str">
        <f>IF(AND(L19&gt;0,'[19]EvaluaciónRiesgoCorrup 1'!$F$11&gt;50,'[19]EvaluaciónRiesgoCorrup 1'!$F$11&lt;76,F19=3,H19=5),$H$28,IF(AND(L19&gt;0,'[19]EvaluaciónRiesgoCorrup 1'!$F$11&gt;50,'[19]EvaluaciónRiesgoCorrup 1'!$F$11&lt;76,F19=3,H19=10),$J$28,IF(AND(L19&gt;0,'[19]EvaluaciónRiesgoCorrup 1'!$F$11&gt;50,'[19]EvaluaciónRiesgoCorrup 1'!$F$11&lt;76,F19=3,H19=20),$K$28," ")))</f>
        <v xml:space="preserve"> </v>
      </c>
      <c r="AN19" s="28" t="str">
        <f>IF(AND(L19&gt;0,'[19]EvaluaciónRiesgoCorrup 1'!$F$11&gt;50,'[19]EvaluaciónRiesgoCorrup 1'!$F$11&lt;76,F19=4,H19=5),$H$29,IF(AND(L19&gt;0,'[19]EvaluaciónRiesgoCorrup 1'!$F$11&gt;50,'[19]EvaluaciónRiesgoCorrup 1'!$F$11&lt;76,F19=4,H19=10),$J$29,IF(AND(L19&gt;0,'[19]EvaluaciónRiesgoCorrup 1'!$F$11&gt;50,'[19]EvaluaciónRiesgoCorrup 1'!$F$11&lt;76,F19=4,H19=20),$K$29," ")))</f>
        <v xml:space="preserve"> </v>
      </c>
      <c r="AO19" s="28" t="str">
        <f>IF(AND(L19&gt;0,'[19]EvaluaciónRiesgoCorrup 1'!$F$11&gt;50,'[19]EvaluaciónRiesgoCorrup 1'!$F$11&lt;76,F19=5,H19=5),$H$30,IF(AND(L19&gt;0,'[19]EvaluaciónRiesgoCorrup 1'!$F$11&gt;50,'[19]EvaluaciónRiesgoCorrup 1'!$F$11&lt;76,F19=5,H19=10),$J$30,IF(AND(L19&gt;0,'[19]EvaluaciónRiesgoCorrup 1'!$F$11&gt;50,'[19]EvaluaciónRiesgoCorrup 1'!$F$11&lt;76,F19=5,H19=20),$K$30," ")))</f>
        <v xml:space="preserve"> </v>
      </c>
      <c r="AR19" s="28" t="str">
        <f>IF(AND(L19&gt;0,'[19]EvaluaciónRiesgoCorrup 1'!$F$11&lt;51,F19=1,H19=5),$H$27,IF(AND(L19&gt;0,'[19]EvaluaciónRiesgoCorrup 1'!$F$11&lt;51,F19=1,H19=10),$J$27,IF(AND(L19&gt;0,'[19]EvaluaciónRiesgoCorrup 1'!$F$11&lt;51,F19=1,H19=20),K$27," ")))</f>
        <v xml:space="preserve"> </v>
      </c>
      <c r="AS19" s="28" t="str">
        <f>IF(AND(L19&gt;0,'[19]EvaluaciónRiesgoCorrup 1'!$F$11&lt;51,F19=2,H19=5),$H$28,IF(AND(L19&gt;0,'[19]EvaluaciónRiesgoCorrup 1'!$F$11&lt;51,F19=2,H19=10),$J$28,IF(AND(L19&gt;0,'[19]EvaluaciónRiesgoCorrup 1'!$F$11&lt;51,F19=2,H19=20),K$28," ")))</f>
        <v xml:space="preserve"> </v>
      </c>
      <c r="AT19" s="28" t="str">
        <f>IF(AND(L19&gt;0,'[19]EvaluaciónRiesgoCorrup 1'!$F$11&lt;51,F19=3,H19=5),$H$29,IF(AND(L19&gt;0,'[19]EvaluaciónRiesgoCorrup 1'!$F$11&lt;51,F19=3,H19=10),$J$29,IF(AND(L19&gt;0,'[19]EvaluaciónRiesgoCorrup 1'!$F$11&lt;51,F19=3,H19=20),K$29," ")))</f>
        <v xml:space="preserve"> </v>
      </c>
      <c r="AU19" s="28" t="str">
        <f>IF(AND(L19&gt;0,'[19]EvaluaciónRiesgoCorrup 1'!$F$11&lt;51,F19=4,H19=5),$H$30,IF(AND(L19&gt;0,'[19]EvaluaciónRiesgoCorrup 1'!$F$11&lt;51,F19=4,H19=10),$J$30,IF(AND(L19&gt;0,'[19]EvaluaciónRiesgoCorrup 1'!$F$11&lt;51,F19=4,H19=20),K$30," ")))</f>
        <v xml:space="preserve"> </v>
      </c>
      <c r="AV19" s="28" t="str">
        <f>IF(AND(L19&gt;0,'[19]EvaluaciónRiesgoCorrup 1'!$F$11&lt;51,F19=5,H19=5),$H$31,IF(AND(L19&gt;0,'[19]EvaluaciónRiesgoCorrup 1'!$F$11&lt;51,F19=5,H19=10),$J$31,IF(AND(L19&gt;0,'[19]EvaluaciónRiesgoCorrup 1'!$F$11&lt;51,F19=5,H19=20),K$31," ")))</f>
        <v xml:space="preserve"> </v>
      </c>
      <c r="AZ19" s="28" t="str">
        <f>IF(AND(M19&gt;0,'[19]EvaluaciónRiesgoCorrup 1'!$F$11&gt;75,F19=1,H19=5),$H$27,IF(AND(M19&gt;0,'[19]EvaluaciónRiesgoCorrup 1'!$F$11&gt;75,F19=1,H19=10),$H$27,IF(AND(M19&gt;0,'[19]EvaluaciónRiesgoCorrup 1'!$F$11&gt;75,F19=1,H19=20),$H$27," ")))</f>
        <v xml:space="preserve"> </v>
      </c>
      <c r="BA19" s="28" t="str">
        <f>IF(AND(M19&gt;0,'[19]EvaluaciónRiesgoCorrup 1'!$F$11&gt;75,F19=2,H19=5),$H$28,IF(AND(M19&gt;0,'[19]EvaluaciónRiesgoCorrup 1'!$F$11&gt;75,F19=2,H19=10),$H$28,IF(AND(M19&gt;0,'[19]EvaluaciónRiesgoCorrup 1'!$F$11&gt;75,F19=2,H19=20),$H$28," ")))</f>
        <v xml:space="preserve"> </v>
      </c>
      <c r="BB19" s="28" t="str">
        <f>IF(AND(M19&gt;0,'[19]EvaluaciónRiesgoCorrup 1'!$F$11&gt;75,F19=3,H19=5),$H$29,IF(AND(M19&gt;0,'[19]EvaluaciónRiesgoCorrup 1'!$F$11&gt;75,F19=3,H19=10),$H$29,IF(AND(M19&gt;0,'[19]EvaluaciónRiesgoCorrup 1'!$F$11&gt;75,F19=3,H19=20),$H$29," ")))</f>
        <v xml:space="preserve"> </v>
      </c>
      <c r="BC19" s="28" t="str">
        <f>IF(AND(M19&gt;0,'[19]EvaluaciónRiesgoCorrup 1'!$F$11&gt;75,F19=4,H19=5),$H$30,IF(AND(M19&gt;0,'[19]EvaluaciónRiesgoCorrup 1'!$F$11&gt;75,F19=4,H19=10),$H$30,IF(AND(M19&gt;0,'[19]EvaluaciónRiesgoCorrup 1'!$F$11&gt;75,F19=4,H19=20),$H$30," ")))</f>
        <v xml:space="preserve"> </v>
      </c>
      <c r="BD19" s="28" t="str">
        <f>IF(AND(M19&gt;0,'[19]EvaluaciónRiesgoCorrup 1'!$F$11&gt;75,F19=5,H19=5),$H$31,IF(AND(M19&gt;0,'[19]EvaluaciónRiesgoCorrup 1'!$F$11&gt;75,F19=5,H19=10),$H$31,IF(AND(M19&gt;0,'[19]EvaluaciónRiesgoCorrup 1'!$F$11&gt;75,F19=5,H19=20),$H$31," ")))</f>
        <v xml:space="preserve"> </v>
      </c>
      <c r="BG19" s="28" t="str">
        <f>IF(AND(M19&gt;0,'[19]EvaluaciónRiesgoCorrup 1'!$F$11&gt;50,'[19]EvaluaciónRiesgoCorrup 1'!$F$11&lt;76,F19=1,H19=5),$H$27,IF(AND(M19&gt;0,'[19]EvaluaciónRiesgoCorrup 1'!$F$11&gt;50,'[19]EvaluaciónRiesgoCorrup 1'!$F$11&lt;76,F19=1,H19=10),$H$27,IF(AND(M19&gt;0,'[19]EvaluaciónRiesgoCorrup 1'!$F$11&gt;50,'[19]EvaluaciónRiesgoCorrup 1'!$F$11&lt;76,F19=1,H19=20),$J$27," ")))</f>
        <v xml:space="preserve"> </v>
      </c>
      <c r="BH19" s="28" t="str">
        <f>IF(AND(M19&gt;0,'[19]EvaluaciónRiesgoCorrup 1'!$F$11&gt;50,'[19]EvaluaciónRiesgoCorrup 1'!$F$11&lt;76,F19=2,H19=5),$H$28,IF(AND(M19&gt;0,'[19]EvaluaciónRiesgoCorrup 1'!$F$11&gt;50,'[19]EvaluaciónRiesgoCorrup 1'!$F$11&lt;76,F19=2,H19=10),$H$28,IF(AND(M19&gt;0,'[19]EvaluaciónRiesgoCorrup 1'!$F$11&gt;50,'[19]EvaluaciónRiesgoCorrup 1'!$F$11&lt;76,F19=2,H19=20),$J$28," ")))</f>
        <v xml:space="preserve"> </v>
      </c>
      <c r="BI19" s="28" t="str">
        <f>IF(AND(M19&gt;0,'[19]EvaluaciónRiesgoCorrup 1'!$F$11&gt;50,'[19]EvaluaciónRiesgoCorrup 1'!$F$11&lt;76,F19=3,H19=5),$H$29,IF(AND(M19&gt;0,'[19]EvaluaciónRiesgoCorrup 1'!$F$11&gt;50,'[19]EvaluaciónRiesgoCorrup 1'!$F$11&lt;76,F19=3,H19=10),$H$29,IF(AND(M19&gt;0,'[19]EvaluaciónRiesgoCorrup 1'!$F$11&gt;50,'[19]EvaluaciónRiesgoCorrup 1'!$F$11&lt;76,F19=3,H19=20),$J$29," ")))</f>
        <v xml:space="preserve"> </v>
      </c>
      <c r="BJ19" s="28" t="str">
        <f>IF(AND(M19&gt;0,'[19]EvaluaciónRiesgoCorrup 1'!$F$11&gt;50,'[19]EvaluaciónRiesgoCorrup 1'!$F$11&lt;76,F19=4,H19=5),$H$30,IF(AND(M19&gt;0,'[19]EvaluaciónRiesgoCorrup 1'!$F$11&gt;50,'[19]EvaluaciónRiesgoCorrup 1'!$F$11&lt;76,F19=4,H19=10),$H$30,IF(AND(M19&gt;0,'[19]EvaluaciónRiesgoCorrup 1'!$F$11&gt;50,'[19]EvaluaciónRiesgoCorrup 1'!$F$11&lt;76,F19=4,H19=20),$J$30," ")))</f>
        <v xml:space="preserve"> </v>
      </c>
      <c r="BK19" s="28" t="str">
        <f>IF(AND(M19&gt;0,'[19]EvaluaciónRiesgoCorrup 1'!$F$11&gt;50,'[19]EvaluaciónRiesgoCorrup 1'!$F$11&lt;76,F19=5,H19=5),$H$31,IF(AND(M19&gt;0,'[19]EvaluaciónRiesgoCorrup 1'!$F$11&gt;50,'[19]EvaluaciónRiesgoCorrup 1'!$F$11&lt;76,F19=5,H19=10),$H$31,IF(AND(M19&gt;0,'[19]EvaluaciónRiesgoCorrup 1'!$F$11&gt;50,'[19]EvaluaciónRiesgoCorrup 1'!$F$11&lt;76,F19=5,H19=20),$J$31," ")))</f>
        <v xml:space="preserve"> </v>
      </c>
      <c r="BN19" s="28" t="str">
        <f>IF(AND(M19&gt;0,'[19]EvaluaciónRiesgoCorrup 1'!$F$11&lt;51,F19=1,H19=5),$H$27,IF(AND(M19&gt;0,'[19]EvaluaciónRiesgoCorrup 1'!$F$11&lt;51,F19=1,H19=10),$J$27,IF(AND(M19&gt;0,'[19]EvaluaciónRiesgoCorrup 1'!$F$11&lt;51,F19=1,H19=20),$K$27," ")))</f>
        <v xml:space="preserve"> </v>
      </c>
      <c r="BO19" s="28" t="str">
        <f>IF(AND(M19&gt;0,'[19]EvaluaciónRiesgoCorrup 1'!$F$11&lt;51,F19=2,H19=5),$H$28,IF(AND(M19&gt;0,'[19]EvaluaciónRiesgoCorrup 1'!$F$11&lt;51,F19=2,H19=10),$J$28,IF(AND(M19&gt;0,'[19]EvaluaciónRiesgoCorrup 1'!$F$11&lt;51,F19=2,H19=20),$K$28," ")))</f>
        <v xml:space="preserve"> </v>
      </c>
      <c r="BP19" s="28" t="str">
        <f>IF(AND(M19&gt;0,'[19]EvaluaciónRiesgoCorrup 1'!$F$11&lt;51,F19=3,H19=5),$H$29,IF(AND(M19&gt;0,'[19]EvaluaciónRiesgoCorrup 1'!$F$11&lt;51,F19=3,H19=10),$J$29,IF(AND(M19&gt;0,'[19]EvaluaciónRiesgoCorrup 1'!$F$11&lt;51,F19=3,H19=20),$K$29," ")))</f>
        <v xml:space="preserve"> </v>
      </c>
      <c r="BQ19" s="28" t="str">
        <f>IF(AND(M19&gt;0,'[19]EvaluaciónRiesgoCorrup 1'!$F$11&lt;51,F19=4,H19=5),$H$30,IF(AND(M19&gt;0,'[19]EvaluaciónRiesgoCorrup 1'!$F$11&lt;51,F19=4,H19=10),$J$30,IF(AND(M19&gt;0,'[19]EvaluaciónRiesgoCorrup 1'!$F$11&lt;51,F19=4,H19=20),$K$30," ")))</f>
        <v xml:space="preserve"> </v>
      </c>
      <c r="BR19" s="28" t="str">
        <f>IF(AND(M19&gt;0,'[19]EvaluaciónRiesgoCorrup 1'!$F$11&lt;51,F19=5,H19=5),$H$31,IF(AND(M19&gt;0,'[19]EvaluaciónRiesgoCorrup 1'!$F$11&lt;51,F19=5,H19=10),$J$31,IF(AND(M19&gt;0,'[19]EvaluaciónRiesgoCorrup 1'!$F$11&lt;51,F19=5,H19=20),$K$31," ")))</f>
        <v xml:space="preserve"> </v>
      </c>
    </row>
    <row r="20" spans="1:70" ht="156.75" customHeight="1" x14ac:dyDescent="0.35">
      <c r="A20" s="484" t="s">
        <v>277</v>
      </c>
      <c r="B20" s="485" t="s">
        <v>278</v>
      </c>
      <c r="C20" s="486" t="s">
        <v>279</v>
      </c>
      <c r="D20" s="487" t="s">
        <v>280</v>
      </c>
      <c r="E20" s="488" t="s">
        <v>119</v>
      </c>
      <c r="F20" s="489">
        <v>1</v>
      </c>
      <c r="G20" s="490" t="s">
        <v>121</v>
      </c>
      <c r="H20" s="491">
        <v>20</v>
      </c>
      <c r="I20" s="492" t="s">
        <v>122</v>
      </c>
      <c r="J20" s="493" t="s">
        <v>49</v>
      </c>
      <c r="K20" s="494" t="s">
        <v>281</v>
      </c>
      <c r="L20" s="1065" t="s">
        <v>10</v>
      </c>
      <c r="M20" s="1066"/>
      <c r="N20" s="586" t="s">
        <v>48</v>
      </c>
      <c r="O20" s="495" t="s">
        <v>154</v>
      </c>
      <c r="P20" s="496" t="s">
        <v>282</v>
      </c>
      <c r="Q20" s="497" t="s">
        <v>283</v>
      </c>
      <c r="R20" s="498" t="s">
        <v>284</v>
      </c>
      <c r="S20" s="583" t="s">
        <v>643</v>
      </c>
      <c r="T20" s="585" t="s">
        <v>377</v>
      </c>
      <c r="U20" s="499" t="s">
        <v>268</v>
      </c>
      <c r="V20" s="409"/>
    </row>
    <row r="21" spans="1:70" ht="160.5" customHeight="1" x14ac:dyDescent="0.35">
      <c r="A21" s="500" t="s">
        <v>285</v>
      </c>
      <c r="B21" s="501" t="s">
        <v>286</v>
      </c>
      <c r="C21" s="502" t="s">
        <v>287</v>
      </c>
      <c r="D21" s="503" t="s">
        <v>288</v>
      </c>
      <c r="E21" s="504" t="s">
        <v>119</v>
      </c>
      <c r="F21" s="505">
        <v>1</v>
      </c>
      <c r="G21" s="506" t="s">
        <v>121</v>
      </c>
      <c r="H21" s="507">
        <v>20</v>
      </c>
      <c r="I21" s="508" t="s">
        <v>122</v>
      </c>
      <c r="J21" s="509" t="s">
        <v>49</v>
      </c>
      <c r="K21" s="510" t="s">
        <v>289</v>
      </c>
      <c r="L21" s="1065" t="s">
        <v>10</v>
      </c>
      <c r="M21" s="1066"/>
      <c r="N21" s="586" t="s">
        <v>48</v>
      </c>
      <c r="O21" s="511" t="s">
        <v>154</v>
      </c>
      <c r="P21" s="512" t="s">
        <v>282</v>
      </c>
      <c r="Q21" s="513" t="s">
        <v>290</v>
      </c>
      <c r="R21" s="514" t="s">
        <v>291</v>
      </c>
      <c r="S21" s="583" t="s">
        <v>643</v>
      </c>
      <c r="T21" s="585" t="s">
        <v>378</v>
      </c>
      <c r="U21" s="515" t="s">
        <v>268</v>
      </c>
      <c r="V21" s="409"/>
    </row>
    <row r="22" spans="1:70" ht="253.5" customHeight="1" x14ac:dyDescent="0.35">
      <c r="A22" s="587" t="str">
        <f>IF(ISTEXT([20]IdentificaciónRiesgos!$B11),[20]IdentificaciónRiesgos!$A11,"")</f>
        <v>Información inconsistente de los bienes de propiedad de la entidad a las auditorias externas e internas. 
Inventarios desactualizados de los funcionarios.</v>
      </c>
      <c r="B22" s="587" t="str">
        <f>IF(ISTEXT([20]IdentificaciónRiesgos!$B11),[20]IdentificaciónRiesgos!$B11,"")</f>
        <v>Uso inadecuado de los bienes en custodia de bienes en bodega.</v>
      </c>
      <c r="C22" s="587" t="str">
        <f>IF(ISTEXT([20]IdentificaciónRiesgos!$B11),[20]IdentificaciónRiesgos!$C11,"")</f>
        <v>Uso inadecuado de los bienes en custodia del almacen para el  beneficio a terceros.</v>
      </c>
      <c r="D22" s="587" t="str">
        <f>IF(ISTEXT([20]IdentificaciónRiesgos!$B11),[20]IdentificaciónRiesgos!$D11,"")</f>
        <v>*Detrimento patrimonial.
*Sanciones disciplinarias por parte de los entes de control.
*Afectación de la imagen de la entidad.</v>
      </c>
      <c r="E22" s="587" t="str">
        <f>IF(ISTEXT([20]IdentificaciónRiesgos!$B11),VLOOKUP($C22,[20]DefiniciónRiesgos!$A$4:$F$10,6,FALSE),"")</f>
        <v>RIESGO DE CORRUPCIÓN</v>
      </c>
      <c r="F22" s="588">
        <f>IF(ISTEXT([20]IdentificaciónRiesgos!$B11),
IF(EXACT([20]AnálisisRiesgos!$B14,"X"),5,
IF(EXACT([20]AnálisisRiesgos!$C14,"X"),4,
IF(EXACT([20]AnálisisRiesgos!$D14,"X"),3,
IF(EXACT([20]AnálisisRiesgos!$E14,"X"),2,
IF(EXACT([20]AnálisisRiesgos!$F14,"X"),1,""))))),"")</f>
        <v>1</v>
      </c>
      <c r="G22" s="588" t="str">
        <f>IF(EXACT($F22,5),"Casí Seguro",
IF(EXACT($F22,4),"Probable",
IF(EXACT($F22,3),"Posible",
IF(EXACT($F22,2),"Improbable","Rara Vez"))))</f>
        <v>Rara Vez</v>
      </c>
      <c r="H22" s="589">
        <f>IF(EXACT($B22,""),"",
IF(EXACT($E22,"RIESGO DE GESTIÓN"),IF(EXACT([20]AnálisisRiesgos!$G14,"X"),5,
IF(EXACT([20]AnálisisRiesgos!$H14,"X"),4,
IF(EXACT([20]AnálisisRiesgos!$I14,"X"),3,
IF(EXACT([20]AnálisisRiesgos!$J14,"X"),2,1)))),
IF(EXACT([20]AnálisisRiesgos!$L14,"X"),20,
IF(EXACT([20]AnálisisRiesgos!$M14,"X"),10,5
))))</f>
        <v>20</v>
      </c>
      <c r="I22" s="589" t="str">
        <f>IF(EXACT($E22,"RIESGO DE GESTIÓN"),
IF(EXACT($H22,1),"Insignificante",
IF(EXACT($H22,2),"Menor",
IF(EXACT($H22,3),"Moderado",
IF(EXACT($H22,4),"Mayor","Catastrófico")))),
IF(EXACT($H22,5),"Moderado",
IF(EXACT($H22,10),"Mayor","Catastrófico")))</f>
        <v>Catastrófico</v>
      </c>
      <c r="J22" s="572" t="s">
        <v>49</v>
      </c>
      <c r="K22" s="590" t="s">
        <v>292</v>
      </c>
      <c r="L22" s="1098" t="s">
        <v>10</v>
      </c>
      <c r="M22" s="1099"/>
      <c r="N22" s="572" t="s">
        <v>49</v>
      </c>
      <c r="O22" s="591" t="s">
        <v>154</v>
      </c>
      <c r="P22" s="592" t="s">
        <v>282</v>
      </c>
      <c r="Q22" s="592" t="s">
        <v>293</v>
      </c>
      <c r="R22" s="592" t="s">
        <v>294</v>
      </c>
      <c r="S22" s="583" t="s">
        <v>643</v>
      </c>
      <c r="T22" s="585" t="s">
        <v>379</v>
      </c>
      <c r="U22" s="584" t="s">
        <v>295</v>
      </c>
      <c r="V22" s="593"/>
    </row>
    <row r="23" spans="1:70" s="399" customFormat="1" ht="253.5" customHeight="1" x14ac:dyDescent="0.35">
      <c r="A23" s="587" t="str">
        <f>IF(ISTEXT([20]IdentificaciónRiesgos!$B12),[20]IdentificaciónRiesgos!$A12,"")</f>
        <v>Incumplimiento al procedimiento A-AR-P0004-PROCEDIMIENTO TRÁMITE DE SINIESTROS V5.</v>
      </c>
      <c r="B23" s="587" t="str">
        <f>IF(ISTEXT([20]IdentificaciónRiesgos!$B12),[20]IdentificaciónRiesgos!$B12,"")</f>
        <v>No reposición oportuna de los bienes siniestrados de propiedad del IDEAM.</v>
      </c>
      <c r="C23" s="587" t="str">
        <f>IF(ISTEXT([20]IdentificaciónRiesgos!$B12),[20]IdentificaciónRiesgos!$C12,"")</f>
        <v>Inoportuna reclamación y suministro de la información correspondiente al Corredor de Seguros contratado por el IDEAM, para la reposición de los bienes siniestrados que son de propiedad del IDEAM.</v>
      </c>
      <c r="D23" s="587" t="str">
        <f>IF(ISTEXT([20]IdentificaciónRiesgos!$B12),[20]IdentificaciónRiesgos!$D12,"")</f>
        <v>Perdida de bienes de propiedad del IDEAM.
Posible detrimento patrimonial.
Investigaciones Disciplinarias.
Investigaciones Admisnitrativas.
Investigaciones Penales.</v>
      </c>
      <c r="E23" s="587" t="str">
        <f>IF(ISTEXT([20]IdentificaciónRiesgos!$B12),VLOOKUP($C23,[20]DefiniciónRiesgos!$A$4:$F$10,6,FALSE),"")</f>
        <v>RIESGO DE GESTIÓN</v>
      </c>
      <c r="F23" s="588">
        <f>IF(ISTEXT([20]IdentificaciónRiesgos!$B12),
IF(EXACT([20]AnálisisRiesgos!$B15,"X"),5,
IF(EXACT([20]AnálisisRiesgos!$C15,"X"),4,
IF(EXACT([20]AnálisisRiesgos!$D15,"X"),3,
IF(EXACT([20]AnálisisRiesgos!$E15,"X"),2,
IF(EXACT([20]AnálisisRiesgos!$F15,"X"),1,""))))),"")</f>
        <v>3</v>
      </c>
      <c r="G23" s="588" t="str">
        <f>IF(EXACT($F23,5),"Casí Seguro",
IF(EXACT($F23,4),"Probable",
IF(EXACT($F23,3),"Posible",
IF(EXACT($F23,2),"Improbable","Rara Vez"))))</f>
        <v>Posible</v>
      </c>
      <c r="H23" s="589">
        <f>IF(EXACT($B23,""),"",
IF(EXACT($E23,"RIESGO DE GESTIÓN"),IF(EXACT([20]AnálisisRiesgos!$G15,"X"),5,
IF(EXACT([20]AnálisisRiesgos!$H15,"X"),4,
IF(EXACT([20]AnálisisRiesgos!$I15,"X"),3,
IF(EXACT([20]AnálisisRiesgos!$J15,"X"),2,1)))),
IF(EXACT([20]AnálisisRiesgos!$L15,"X"),20,
IF(EXACT([20]AnálisisRiesgos!$M15,"X"),10,5
))))</f>
        <v>5</v>
      </c>
      <c r="I23" s="589" t="str">
        <f>IF(EXACT($E23,"RIESGO DE GESTIÓN"),
IF(EXACT($H23,1),"Insignificante",
IF(EXACT($H23,2),"Menor",
IF(EXACT($H23,3),"Moderado",
IF(EXACT($H23,4),"Mayor","Catastrófico")))),
IF(EXACT($H23,5),"Moderado",
IF(EXACT($H23,10),"Mayor","Catastrófico")))</f>
        <v>Catastrófico</v>
      </c>
      <c r="J23" s="586" t="s">
        <v>53</v>
      </c>
      <c r="K23" s="590" t="s">
        <v>292</v>
      </c>
      <c r="L23" s="1098" t="s">
        <v>10</v>
      </c>
      <c r="M23" s="1099"/>
      <c r="N23" s="586" t="s">
        <v>48</v>
      </c>
      <c r="O23" s="591" t="s">
        <v>154</v>
      </c>
      <c r="P23" s="592" t="s">
        <v>381</v>
      </c>
      <c r="Q23" s="592" t="s">
        <v>382</v>
      </c>
      <c r="R23" s="592" t="s">
        <v>383</v>
      </c>
      <c r="S23" s="583" t="s">
        <v>643</v>
      </c>
      <c r="T23" s="585" t="s">
        <v>384</v>
      </c>
      <c r="U23" s="584" t="s">
        <v>268</v>
      </c>
      <c r="V23" s="593"/>
    </row>
    <row r="24" spans="1:70" s="399" customFormat="1" ht="253.5" customHeight="1" x14ac:dyDescent="0.35">
      <c r="A24" s="594"/>
      <c r="B24" s="594"/>
      <c r="C24" s="594"/>
      <c r="D24" s="594"/>
      <c r="E24" s="594"/>
      <c r="F24" s="595"/>
      <c r="G24" s="595"/>
      <c r="H24" s="596"/>
      <c r="I24" s="596"/>
      <c r="J24" s="604"/>
      <c r="K24" s="597"/>
      <c r="L24" s="598"/>
      <c r="M24" s="598"/>
      <c r="N24" s="596"/>
      <c r="O24" s="599"/>
      <c r="P24" s="600"/>
      <c r="Q24" s="600"/>
      <c r="R24" s="600"/>
      <c r="S24" s="601"/>
      <c r="T24" s="602"/>
      <c r="U24" s="600"/>
      <c r="V24" s="603"/>
    </row>
    <row r="25" spans="1:70" ht="191.25" customHeight="1" thickBot="1" x14ac:dyDescent="0.4">
      <c r="A25" s="6" t="s">
        <v>380</v>
      </c>
      <c r="B25" s="33"/>
      <c r="C25" s="423"/>
      <c r="D25" s="33"/>
      <c r="E25" s="423"/>
      <c r="F25" s="1082" t="s">
        <v>26</v>
      </c>
      <c r="G25" s="84"/>
      <c r="H25" s="1083" t="s">
        <v>10</v>
      </c>
      <c r="I25" s="1083"/>
      <c r="J25" s="1083"/>
      <c r="K25" s="1084"/>
      <c r="L25" s="2"/>
      <c r="Q25" s="5"/>
      <c r="S25" s="2"/>
    </row>
    <row r="26" spans="1:70" ht="32.25" customHeight="1" thickBot="1" x14ac:dyDescent="0.4">
      <c r="A26" s="5"/>
      <c r="B26" s="34" t="s">
        <v>42</v>
      </c>
      <c r="C26" s="411"/>
      <c r="D26" s="34"/>
      <c r="E26" s="411"/>
      <c r="F26" s="1020"/>
      <c r="G26" s="429"/>
      <c r="H26" s="35" t="s">
        <v>43</v>
      </c>
      <c r="I26" s="412"/>
      <c r="J26" s="36" t="s">
        <v>44</v>
      </c>
      <c r="K26" s="35" t="s">
        <v>45</v>
      </c>
      <c r="L26" s="2"/>
      <c r="Q26" s="5"/>
      <c r="S26" s="2"/>
    </row>
    <row r="27" spans="1:70" ht="14.5" thickBot="1" x14ac:dyDescent="0.4">
      <c r="B27" s="5" t="s">
        <v>46</v>
      </c>
      <c r="C27" s="402"/>
      <c r="F27" s="37" t="s">
        <v>47</v>
      </c>
      <c r="G27" s="413"/>
      <c r="H27" s="38" t="s">
        <v>48</v>
      </c>
      <c r="I27" s="414"/>
      <c r="J27" s="38" t="s">
        <v>48</v>
      </c>
      <c r="K27" s="39" t="s">
        <v>49</v>
      </c>
      <c r="L27" s="2"/>
      <c r="Q27" s="5"/>
      <c r="S27" s="2"/>
    </row>
    <row r="28" spans="1:70" ht="14.5" thickBot="1" x14ac:dyDescent="0.4">
      <c r="F28" s="37" t="s">
        <v>50</v>
      </c>
      <c r="G28" s="413"/>
      <c r="H28" s="38" t="s">
        <v>48</v>
      </c>
      <c r="I28" s="414"/>
      <c r="J28" s="39" t="s">
        <v>49</v>
      </c>
      <c r="K28" s="40" t="s">
        <v>51</v>
      </c>
      <c r="L28" s="2"/>
      <c r="Q28" s="5"/>
      <c r="S28" s="2"/>
    </row>
    <row r="29" spans="1:70" ht="14.5" thickBot="1" x14ac:dyDescent="0.4">
      <c r="F29" s="37" t="s">
        <v>52</v>
      </c>
      <c r="G29" s="413"/>
      <c r="H29" s="39" t="s">
        <v>49</v>
      </c>
      <c r="I29" s="415"/>
      <c r="J29" s="40" t="s">
        <v>51</v>
      </c>
      <c r="K29" s="41" t="s">
        <v>53</v>
      </c>
      <c r="L29" s="2"/>
      <c r="Q29" s="5"/>
      <c r="S29" s="2"/>
    </row>
    <row r="30" spans="1:70" ht="14.5" thickBot="1" x14ac:dyDescent="0.4">
      <c r="F30" s="37" t="s">
        <v>54</v>
      </c>
      <c r="G30" s="413"/>
      <c r="H30" s="39" t="s">
        <v>49</v>
      </c>
      <c r="I30" s="415"/>
      <c r="J30" s="40" t="s">
        <v>51</v>
      </c>
      <c r="K30" s="41" t="s">
        <v>53</v>
      </c>
      <c r="L30" s="2"/>
      <c r="Q30" s="5"/>
      <c r="S30" s="2"/>
    </row>
    <row r="31" spans="1:70" ht="14.5" thickBot="1" x14ac:dyDescent="0.4">
      <c r="F31" s="37" t="s">
        <v>55</v>
      </c>
      <c r="G31" s="413"/>
      <c r="H31" s="39" t="s">
        <v>49</v>
      </c>
      <c r="I31" s="415"/>
      <c r="J31" s="40" t="s">
        <v>51</v>
      </c>
      <c r="K31" s="41" t="s">
        <v>53</v>
      </c>
      <c r="L31" s="2"/>
      <c r="Q31" s="5"/>
      <c r="S31" s="2"/>
    </row>
    <row r="32" spans="1:70" x14ac:dyDescent="0.35">
      <c r="F32" s="2"/>
      <c r="G32" s="399"/>
      <c r="H32" s="2"/>
      <c r="I32" s="399"/>
      <c r="J32" s="2"/>
      <c r="K32" s="5"/>
      <c r="M32" s="5"/>
    </row>
    <row r="33" spans="6:16" x14ac:dyDescent="0.35">
      <c r="F33" s="42" t="s">
        <v>56</v>
      </c>
      <c r="G33" s="416"/>
      <c r="H33" s="2"/>
      <c r="I33" s="399"/>
      <c r="J33" s="2"/>
      <c r="K33" s="5"/>
      <c r="M33" s="5"/>
      <c r="N33" s="5"/>
      <c r="O33" s="402"/>
      <c r="P33" s="5"/>
    </row>
    <row r="34" spans="6:16" x14ac:dyDescent="0.35">
      <c r="F34" s="43" t="s">
        <v>57</v>
      </c>
      <c r="G34" s="417"/>
      <c r="H34" s="2"/>
      <c r="I34" s="399"/>
      <c r="J34" s="2"/>
      <c r="K34" s="5"/>
      <c r="M34" s="5"/>
      <c r="N34" s="5"/>
      <c r="O34" s="402"/>
      <c r="P34" s="5"/>
    </row>
    <row r="35" spans="6:16" x14ac:dyDescent="0.35">
      <c r="F35" s="44" t="s">
        <v>58</v>
      </c>
      <c r="G35" s="418"/>
      <c r="H35" s="2"/>
      <c r="I35" s="399"/>
      <c r="J35" s="2"/>
      <c r="K35" s="5"/>
      <c r="M35" s="5"/>
      <c r="N35" s="5"/>
      <c r="O35" s="402"/>
      <c r="P35" s="5"/>
    </row>
    <row r="36" spans="6:16" x14ac:dyDescent="0.35">
      <c r="F36" s="45" t="s">
        <v>59</v>
      </c>
      <c r="G36" s="419"/>
      <c r="H36" s="2"/>
      <c r="I36" s="399"/>
      <c r="J36" s="2"/>
      <c r="K36" s="5"/>
      <c r="M36" s="5"/>
      <c r="N36" s="5"/>
      <c r="O36" s="402"/>
      <c r="P36" s="5"/>
    </row>
  </sheetData>
  <mergeCells count="41">
    <mergeCell ref="T15:T16"/>
    <mergeCell ref="U15:U16"/>
    <mergeCell ref="V15:V16"/>
    <mergeCell ref="F25:F26"/>
    <mergeCell ref="H25:K25"/>
    <mergeCell ref="P15:R15"/>
    <mergeCell ref="L17:M17"/>
    <mergeCell ref="L18:M18"/>
    <mergeCell ref="L19:M19"/>
    <mergeCell ref="L20:M20"/>
    <mergeCell ref="L21:M21"/>
    <mergeCell ref="L22:M22"/>
    <mergeCell ref="L23:M23"/>
    <mergeCell ref="A12:D12"/>
    <mergeCell ref="F12:V12"/>
    <mergeCell ref="AG13:AY13"/>
    <mergeCell ref="BA13:BT13"/>
    <mergeCell ref="A14:D14"/>
    <mergeCell ref="F14:H14"/>
    <mergeCell ref="K14:K16"/>
    <mergeCell ref="L14:N14"/>
    <mergeCell ref="P14:R14"/>
    <mergeCell ref="S14:V14"/>
    <mergeCell ref="A15:A16"/>
    <mergeCell ref="B15:B16"/>
    <mergeCell ref="D15:D16"/>
    <mergeCell ref="F15:H15"/>
    <mergeCell ref="L15:N15"/>
    <mergeCell ref="S15:S16"/>
    <mergeCell ref="A6:D6"/>
    <mergeCell ref="F6:V6"/>
    <mergeCell ref="A8:D8"/>
    <mergeCell ref="F8:V8"/>
    <mergeCell ref="A10:D10"/>
    <mergeCell ref="F10:V10"/>
    <mergeCell ref="A1:D4"/>
    <mergeCell ref="F1:T4"/>
    <mergeCell ref="U1:V1"/>
    <mergeCell ref="U4:V4"/>
    <mergeCell ref="U2:W2"/>
    <mergeCell ref="U3:W3"/>
  </mergeCells>
  <conditionalFormatting sqref="J17:J19 N17:O19">
    <cfRule type="containsText" dxfId="95" priority="29" operator="containsText" text="E">
      <formula>NOT(ISERROR(SEARCH("E",J17)))</formula>
    </cfRule>
    <cfRule type="containsText" dxfId="94" priority="30" operator="containsText" text="M">
      <formula>NOT(ISERROR(SEARCH("M",J17)))</formula>
    </cfRule>
    <cfRule type="containsText" dxfId="93" priority="31" operator="containsText" text="A">
      <formula>NOT(ISERROR(SEARCH("A",J17)))</formula>
    </cfRule>
    <cfRule type="containsText" dxfId="92" priority="32" operator="containsText" text="B">
      <formula>NOT(ISERROR(SEARCH("B",J17)))</formula>
    </cfRule>
  </conditionalFormatting>
  <conditionalFormatting sqref="N20">
    <cfRule type="containsText" dxfId="91" priority="25" operator="containsText" text="E">
      <formula>NOT(ISERROR(SEARCH("E",N20)))</formula>
    </cfRule>
    <cfRule type="containsText" dxfId="90" priority="26" operator="containsText" text="M">
      <formula>NOT(ISERROR(SEARCH("M",N20)))</formula>
    </cfRule>
    <cfRule type="containsText" dxfId="89" priority="27" operator="containsText" text="A">
      <formula>NOT(ISERROR(SEARCH("A",N20)))</formula>
    </cfRule>
    <cfRule type="containsText" dxfId="88" priority="28" operator="containsText" text="B">
      <formula>NOT(ISERROR(SEARCH("B",N20)))</formula>
    </cfRule>
  </conditionalFormatting>
  <conditionalFormatting sqref="N24">
    <cfRule type="containsText" dxfId="87" priority="13" operator="containsText" text="E">
      <formula>NOT(ISERROR(SEARCH("E",N24)))</formula>
    </cfRule>
    <cfRule type="containsText" dxfId="86" priority="14" operator="containsText" text="M">
      <formula>NOT(ISERROR(SEARCH("M",N24)))</formula>
    </cfRule>
    <cfRule type="containsText" dxfId="85" priority="15" operator="containsText" text="A">
      <formula>NOT(ISERROR(SEARCH("A",N24)))</formula>
    </cfRule>
    <cfRule type="containsText" dxfId="84" priority="16" operator="containsText" text="B">
      <formula>NOT(ISERROR(SEARCH("B",N24)))</formula>
    </cfRule>
  </conditionalFormatting>
  <conditionalFormatting sqref="N21">
    <cfRule type="containsText" dxfId="83" priority="17" operator="containsText" text="E">
      <formula>NOT(ISERROR(SEARCH("E",N21)))</formula>
    </cfRule>
    <cfRule type="containsText" dxfId="82" priority="18" operator="containsText" text="M">
      <formula>NOT(ISERROR(SEARCH("M",N21)))</formula>
    </cfRule>
    <cfRule type="containsText" dxfId="81" priority="19" operator="containsText" text="A">
      <formula>NOT(ISERROR(SEARCH("A",N21)))</formula>
    </cfRule>
    <cfRule type="containsText" dxfId="80" priority="20" operator="containsText" text="B">
      <formula>NOT(ISERROR(SEARCH("B",N21)))</formula>
    </cfRule>
  </conditionalFormatting>
  <conditionalFormatting sqref="N23">
    <cfRule type="containsText" dxfId="79" priority="9" operator="containsText" text="E">
      <formula>NOT(ISERROR(SEARCH("E",N23)))</formula>
    </cfRule>
    <cfRule type="containsText" dxfId="78" priority="10" operator="containsText" text="M">
      <formula>NOT(ISERROR(SEARCH("M",N23)))</formula>
    </cfRule>
    <cfRule type="containsText" dxfId="77" priority="11" operator="containsText" text="A">
      <formula>NOT(ISERROR(SEARCH("A",N23)))</formula>
    </cfRule>
    <cfRule type="containsText" dxfId="76" priority="12" operator="containsText" text="B">
      <formula>NOT(ISERROR(SEARCH("B",N23)))</formula>
    </cfRule>
  </conditionalFormatting>
  <conditionalFormatting sqref="J23">
    <cfRule type="containsText" dxfId="75" priority="1" operator="containsText" text="E">
      <formula>NOT(ISERROR(SEARCH("E",J23)))</formula>
    </cfRule>
    <cfRule type="containsText" dxfId="74" priority="2" operator="containsText" text="M">
      <formula>NOT(ISERROR(SEARCH("M",J23)))</formula>
    </cfRule>
    <cfRule type="containsText" dxfId="73" priority="3" operator="containsText" text="A">
      <formula>NOT(ISERROR(SEARCH("A",J23)))</formula>
    </cfRule>
    <cfRule type="containsText" dxfId="72" priority="4" operator="containsText" text="B">
      <formula>NOT(ISERROR(SEARCH("B",J23)))</formula>
    </cfRule>
  </conditionalFormatting>
  <dataValidations disablePrompts="1" count="3">
    <dataValidation type="list" allowBlank="1" showInputMessage="1" showErrorMessage="1" sqref="L20:M20 O20">
      <formula1>#REF!</formula1>
    </dataValidation>
    <dataValidation type="list" allowBlank="1" showInputMessage="1" showErrorMessage="1" sqref="P20:Q20">
      <formula1>$J$33:$J$36</formula1>
    </dataValidation>
    <dataValidation type="list" allowBlank="1" showInputMessage="1" showErrorMessage="1" promptTitle="AFECTA A:" prompt="Seleccione según a quien afecte el control" sqref="L22:L24">
      <formula1>$XFD$2:$XFD$3</formula1>
    </dataValidation>
  </dataValidations>
  <pageMargins left="0.7" right="0.7" top="0.75" bottom="0.75" header="0.3" footer="0.3"/>
  <pageSetup scale="1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6"/>
  <sheetViews>
    <sheetView showGridLines="0" view="pageBreakPreview" topLeftCell="O23" zoomScale="110" zoomScaleNormal="60" zoomScaleSheetLayoutView="110" workbookViewId="0">
      <selection activeCell="S19" sqref="S19"/>
    </sheetView>
  </sheetViews>
  <sheetFormatPr baseColWidth="10" defaultColWidth="11.453125" defaultRowHeight="14" x14ac:dyDescent="0.35"/>
  <cols>
    <col min="1" max="1" width="41.26953125" style="2" customWidth="1"/>
    <col min="2" max="5" width="40.453125" style="2" customWidth="1"/>
    <col min="6" max="7" width="27" style="5" customWidth="1"/>
    <col min="8" max="9" width="19" style="5" customWidth="1"/>
    <col min="10" max="10" width="26.7265625" style="5" customWidth="1"/>
    <col min="11" max="11" width="29.7265625" style="2" customWidth="1"/>
    <col min="12" max="12" width="21.54296875" style="5" customWidth="1"/>
    <col min="13" max="13" width="18.54296875" style="2" customWidth="1"/>
    <col min="14" max="15" width="21.7265625" style="2" customWidth="1"/>
    <col min="16" max="16" width="19.81640625" style="2" customWidth="1"/>
    <col min="17" max="17" width="35.1796875" style="2" customWidth="1"/>
    <col min="18" max="18" width="17" style="2" customWidth="1"/>
    <col min="19" max="19" width="24.26953125" style="5" customWidth="1"/>
    <col min="20" max="20" width="38.453125" style="2" customWidth="1"/>
    <col min="21" max="21" width="30.453125" style="2" customWidth="1"/>
    <col min="22" max="22" width="51" style="2" customWidth="1"/>
    <col min="23" max="23" width="30.453125" style="2" customWidth="1"/>
    <col min="24" max="24" width="36" style="2" hidden="1" customWidth="1"/>
    <col min="25" max="72" width="11.453125" style="2" hidden="1" customWidth="1"/>
    <col min="73" max="73" width="11.453125" style="2" customWidth="1"/>
    <col min="74" max="16384" width="11.453125" style="2"/>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91" t="s">
        <v>372</v>
      </c>
      <c r="V2" s="1091"/>
      <c r="W2" s="109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91" t="s">
        <v>373</v>
      </c>
      <c r="V3" s="1091"/>
      <c r="W3" s="109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3"/>
      <c r="C5" s="3"/>
      <c r="D5" s="3"/>
      <c r="E5" s="3"/>
      <c r="F5" s="4"/>
      <c r="G5" s="4"/>
      <c r="H5" s="4"/>
      <c r="I5" s="4"/>
      <c r="J5" s="4"/>
      <c r="K5" s="4"/>
      <c r="L5" s="4"/>
      <c r="M5" s="4"/>
      <c r="N5" s="4"/>
      <c r="O5" s="4"/>
      <c r="P5" s="4"/>
      <c r="Q5" s="4"/>
      <c r="W5" s="6"/>
      <c r="X5" s="6"/>
    </row>
    <row r="6" spans="1:72" x14ac:dyDescent="0.35">
      <c r="A6" s="1030" t="s">
        <v>3</v>
      </c>
      <c r="B6" s="1030"/>
      <c r="C6" s="1030"/>
      <c r="D6" s="1030"/>
      <c r="E6" s="82"/>
      <c r="F6" s="1044" t="str">
        <f>[21]IdentRiesgo!B2</f>
        <v>Gestion del Desarrollo del Talento Humano</v>
      </c>
      <c r="G6" s="1045"/>
      <c r="H6" s="1045"/>
      <c r="I6" s="1045"/>
      <c r="J6" s="1045"/>
      <c r="K6" s="1045"/>
      <c r="L6" s="1045"/>
      <c r="M6" s="1045"/>
      <c r="N6" s="1045"/>
      <c r="O6" s="1045"/>
      <c r="P6" s="1045"/>
      <c r="Q6" s="1045"/>
      <c r="R6" s="1045"/>
      <c r="S6" s="1045"/>
      <c r="T6" s="1045"/>
      <c r="U6" s="1045"/>
      <c r="V6" s="1046"/>
      <c r="W6" s="6"/>
      <c r="X6" s="6"/>
    </row>
    <row r="7" spans="1:72" ht="6.75" customHeight="1" x14ac:dyDescent="0.35">
      <c r="B7" s="3"/>
      <c r="C7" s="3"/>
      <c r="D7" s="3"/>
      <c r="E7" s="3"/>
      <c r="F7" s="7"/>
      <c r="G7" s="7"/>
      <c r="H7" s="7"/>
      <c r="I7" s="7"/>
      <c r="J7" s="7"/>
      <c r="K7" s="7"/>
      <c r="L7" s="7"/>
      <c r="M7" s="7"/>
      <c r="N7" s="7"/>
      <c r="O7" s="7"/>
      <c r="P7" s="7"/>
      <c r="Q7" s="7"/>
      <c r="R7" s="8"/>
      <c r="S7" s="8"/>
      <c r="T7" s="8"/>
      <c r="U7" s="8"/>
      <c r="V7" s="8"/>
      <c r="W7" s="6"/>
      <c r="X7" s="6"/>
    </row>
    <row r="8" spans="1:72" ht="39.75" customHeight="1" x14ac:dyDescent="0.35">
      <c r="A8" s="1030" t="s">
        <v>4</v>
      </c>
      <c r="B8" s="1030"/>
      <c r="C8" s="1030"/>
      <c r="D8" s="1030"/>
      <c r="E8" s="82"/>
      <c r="F8" s="1047" t="str">
        <f>[21]IdentRiesgo!B3</f>
        <v xml:space="preserve">Administrar y promover el desarrollo integral del talento humano de la Entidad, a través de la implementación de políticas, planes, programas y acciones que fortalezcan la calidad de vida laboral de los trabajadores y garanticen una mejor prestación de los servicios que ofrece el IDEAM. </v>
      </c>
      <c r="G8" s="1048"/>
      <c r="H8" s="1048"/>
      <c r="I8" s="1048"/>
      <c r="J8" s="1048"/>
      <c r="K8" s="1048"/>
      <c r="L8" s="1048"/>
      <c r="M8" s="1048"/>
      <c r="N8" s="1048"/>
      <c r="O8" s="1048"/>
      <c r="P8" s="1048"/>
      <c r="Q8" s="1048"/>
      <c r="R8" s="1048"/>
      <c r="S8" s="1048"/>
      <c r="T8" s="1048"/>
      <c r="U8" s="1048"/>
      <c r="V8" s="1049"/>
      <c r="W8" s="9"/>
      <c r="X8" s="9"/>
    </row>
    <row r="9" spans="1:72" ht="6.75" customHeight="1" x14ac:dyDescent="0.35">
      <c r="B9" s="10"/>
      <c r="C9" s="10"/>
      <c r="D9" s="10"/>
      <c r="E9" s="10"/>
      <c r="F9" s="11"/>
      <c r="G9" s="11"/>
      <c r="H9" s="11"/>
      <c r="I9" s="11"/>
      <c r="J9" s="11"/>
      <c r="K9" s="11"/>
      <c r="L9" s="11"/>
      <c r="M9" s="11"/>
      <c r="N9" s="11"/>
      <c r="O9" s="11"/>
      <c r="P9" s="11"/>
      <c r="Q9" s="11"/>
      <c r="R9" s="8"/>
      <c r="S9" s="8"/>
      <c r="T9" s="8"/>
      <c r="U9" s="8"/>
      <c r="V9" s="8"/>
      <c r="W9" s="6"/>
      <c r="X9" s="6"/>
    </row>
    <row r="10" spans="1:72" x14ac:dyDescent="0.35">
      <c r="A10" s="1030" t="s">
        <v>5</v>
      </c>
      <c r="B10" s="1030"/>
      <c r="C10" s="1030"/>
      <c r="D10" s="1030"/>
      <c r="E10" s="82"/>
      <c r="F10" s="1031" t="s">
        <v>71</v>
      </c>
      <c r="G10" s="1032"/>
      <c r="H10" s="1032"/>
      <c r="I10" s="1032"/>
      <c r="J10" s="1032"/>
      <c r="K10" s="1032"/>
      <c r="L10" s="1032"/>
      <c r="M10" s="1032"/>
      <c r="N10" s="1032"/>
      <c r="O10" s="1032"/>
      <c r="P10" s="1032"/>
      <c r="Q10" s="1032"/>
      <c r="R10" s="1032"/>
      <c r="S10" s="1032"/>
      <c r="T10" s="1032"/>
      <c r="U10" s="1032"/>
      <c r="V10" s="1033"/>
      <c r="W10" s="12"/>
      <c r="X10" s="12"/>
    </row>
    <row r="11" spans="1:72" ht="5.25" customHeight="1" x14ac:dyDescent="0.35">
      <c r="B11" s="3"/>
      <c r="C11" s="3"/>
      <c r="D11" s="3"/>
      <c r="E11" s="3"/>
      <c r="F11" s="13"/>
      <c r="G11" s="13"/>
      <c r="H11" s="13"/>
      <c r="I11" s="13"/>
      <c r="J11" s="13"/>
      <c r="K11" s="13"/>
      <c r="L11" s="13"/>
      <c r="M11" s="13"/>
      <c r="N11" s="13"/>
      <c r="O11" s="13"/>
      <c r="P11" s="13"/>
      <c r="Q11" s="13"/>
      <c r="R11" s="8"/>
      <c r="S11" s="8"/>
      <c r="T11" s="8"/>
      <c r="U11" s="8"/>
      <c r="V11" s="8"/>
      <c r="W11" s="6"/>
      <c r="X11" s="6"/>
    </row>
    <row r="12" spans="1:72" x14ac:dyDescent="0.35">
      <c r="A12" s="1030" t="s">
        <v>6</v>
      </c>
      <c r="B12" s="1030"/>
      <c r="C12" s="1030"/>
      <c r="D12" s="1030"/>
      <c r="E12" s="82"/>
      <c r="F12" s="1031" t="s">
        <v>92</v>
      </c>
      <c r="G12" s="1032"/>
      <c r="H12" s="1032"/>
      <c r="I12" s="1032"/>
      <c r="J12" s="1032"/>
      <c r="K12" s="1032"/>
      <c r="L12" s="1032"/>
      <c r="M12" s="1032"/>
      <c r="N12" s="1032"/>
      <c r="O12" s="1032"/>
      <c r="P12" s="1032"/>
      <c r="Q12" s="1032"/>
      <c r="R12" s="1032"/>
      <c r="S12" s="1032"/>
      <c r="T12" s="1032"/>
      <c r="U12" s="1032"/>
      <c r="V12" s="1033"/>
      <c r="W12" s="12"/>
      <c r="X12" s="12"/>
      <c r="AA12" s="2" t="s">
        <v>7</v>
      </c>
    </row>
    <row r="13" spans="1:72" ht="14.5" thickBot="1" x14ac:dyDescent="0.4">
      <c r="B13" s="3"/>
      <c r="C13" s="3"/>
      <c r="D13" s="3"/>
      <c r="E13" s="3"/>
      <c r="F13" s="14"/>
      <c r="G13" s="14"/>
      <c r="H13" s="15"/>
      <c r="I13" s="15"/>
      <c r="J13" s="15"/>
      <c r="K13" s="7"/>
      <c r="L13" s="15"/>
      <c r="M13" s="7"/>
      <c r="N13" s="7"/>
      <c r="O13" s="7"/>
      <c r="P13" s="7"/>
      <c r="Q13" s="7"/>
      <c r="R13" s="7"/>
      <c r="S13" s="15"/>
      <c r="T13" s="7"/>
      <c r="W13" s="6"/>
      <c r="X13" s="6"/>
      <c r="AA13" s="2"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16"/>
      <c r="J14" s="16"/>
      <c r="K14" s="1039" t="s">
        <v>13</v>
      </c>
      <c r="L14" s="1035" t="s">
        <v>14</v>
      </c>
      <c r="M14" s="1036"/>
      <c r="N14" s="1037"/>
      <c r="O14" s="74"/>
      <c r="P14" s="1042" t="s">
        <v>15</v>
      </c>
      <c r="Q14" s="1042"/>
      <c r="R14" s="1042"/>
      <c r="S14" s="1042" t="s">
        <v>16</v>
      </c>
      <c r="T14" s="1042"/>
      <c r="U14" s="1042"/>
      <c r="V14" s="1042"/>
    </row>
    <row r="15" spans="1:72" s="17" customFormat="1" ht="14.25" customHeight="1" x14ac:dyDescent="0.35">
      <c r="A15" s="1040" t="s">
        <v>17</v>
      </c>
      <c r="B15" s="1040" t="s">
        <v>18</v>
      </c>
      <c r="C15" s="75"/>
      <c r="D15" s="1040" t="s">
        <v>19</v>
      </c>
      <c r="E15" s="75"/>
      <c r="F15" s="1018" t="s">
        <v>20</v>
      </c>
      <c r="G15" s="1018"/>
      <c r="H15" s="1018"/>
      <c r="I15" s="71"/>
      <c r="J15" s="18"/>
      <c r="K15" s="1040"/>
      <c r="L15" s="1023" t="s">
        <v>21</v>
      </c>
      <c r="M15" s="1024"/>
      <c r="N15" s="1025"/>
      <c r="O15" s="73"/>
      <c r="P15" s="1023" t="s">
        <v>22</v>
      </c>
      <c r="Q15" s="1024"/>
      <c r="R15" s="1025"/>
      <c r="S15" s="1018" t="s">
        <v>23</v>
      </c>
      <c r="T15" s="1018" t="s">
        <v>24</v>
      </c>
      <c r="U15" s="1018" t="s">
        <v>5</v>
      </c>
      <c r="V15" s="1018" t="s">
        <v>25</v>
      </c>
    </row>
    <row r="16" spans="1:72" s="17" customFormat="1" ht="63" customHeight="1" thickBot="1" x14ac:dyDescent="0.4">
      <c r="A16" s="1043"/>
      <c r="B16" s="1043"/>
      <c r="C16" s="77" t="s">
        <v>96</v>
      </c>
      <c r="D16" s="1043"/>
      <c r="E16" s="77" t="s">
        <v>97</v>
      </c>
      <c r="F16" s="18" t="s">
        <v>26</v>
      </c>
      <c r="G16" s="71" t="s">
        <v>96</v>
      </c>
      <c r="H16" s="18" t="s">
        <v>10</v>
      </c>
      <c r="I16" s="71" t="s">
        <v>96</v>
      </c>
      <c r="J16" s="18" t="s">
        <v>27</v>
      </c>
      <c r="K16" s="1041"/>
      <c r="L16" s="18" t="s">
        <v>98</v>
      </c>
      <c r="M16" s="18" t="s">
        <v>10</v>
      </c>
      <c r="N16" s="20" t="s">
        <v>27</v>
      </c>
      <c r="O16" s="77" t="s">
        <v>100</v>
      </c>
      <c r="P16" s="18" t="s">
        <v>28</v>
      </c>
      <c r="Q16" s="18" t="s">
        <v>24</v>
      </c>
      <c r="R16" s="18" t="s">
        <v>29</v>
      </c>
      <c r="S16" s="1018"/>
      <c r="T16" s="1018"/>
      <c r="U16" s="1018"/>
      <c r="V16" s="1018"/>
    </row>
    <row r="17" spans="1:70" ht="409.5" customHeight="1" x14ac:dyDescent="0.35">
      <c r="A17" s="610" t="str">
        <f>IF(ISTEXT([22]IdentificaciónRiesgos!$B6),[22]IdentificaciónRiesgos!$A6,"")</f>
        <v xml:space="preserve">1. Abuso extralimitación de las funciones
2. Incumplimiento del procedimiento
establecido para la selección de personal. 
3. Incumplimiento de los requisitos para la posesión establecidos por la norma.
</v>
      </c>
      <c r="B17" s="611" t="str">
        <f>IF(ISTEXT([22]IdentificaciónRiesgos!$B6),[22]IdentificaciónRiesgos!$B6,"")</f>
        <v xml:space="preserve">Uso del poder para la vinculación de personal que no cumple los requisitos establecidos en el manual especifico de funciones.     </v>
      </c>
      <c r="C17" s="612" t="str">
        <f>IF(ISTEXT([22]IdentificaciónRiesgos!$B6),[22]IdentificaciónRiesgos!$C6,"")</f>
        <v>Realizar posesiones o encargos sin cumplir con los requisitos establecidos en el Manual de Funciones y de Competencias; o sin que se surta el procedimiento establecido por Ley para la provisión de empleos de carrera administrativa y de libre nombramiento.</v>
      </c>
      <c r="D17" s="611" t="str">
        <f>IF(ISTEXT([22]IdentificaciónRiesgos!$B6),[22]IdentificaciónRiesgos!$D6,"")</f>
        <v>1. Investigaciones de los organismos de control.
2. Falta de credibilidad en los procesos de la Entidad.
3.Sanciones disciplinarias, fiscales y/o penales.</v>
      </c>
      <c r="E17" s="611" t="str">
        <f>IF(ISTEXT([22]IdentificaciónRiesgos!$B6),VLOOKUP($C17,[22]DefiniciónRiesgos!$A$4:$F$9,6,FALSE),"")</f>
        <v>RIESGO DE CORRUPCIÓN</v>
      </c>
      <c r="F17" s="570">
        <f>IF(ISTEXT([22]IdentificaciónRiesgos!$B6),IF(EXACT([22]AnálisisRiesgos!$B9,"X"),5,IF(EXACT([22]AnálisisRiesgos!$C9,"X"),4,IF(EXACT([22]AnálisisRiesgos!$D9,"X"),3,IF(EXACT([22]AnálisisRiesgos!$E9,"X"),2,IF(EXACT([22]AnálisisRiesgos!$F9,"X"),1,""))))),"")</f>
        <v>4</v>
      </c>
      <c r="G17" s="570" t="str">
        <f t="shared" ref="G17:G22" si="0">IF(EXACT($F17,5),"Casí Seguro",IF(EXACT($F17,4),"Probable",IF(EXACT($F17,3),"Posible",IF(EXACT($F17,2),"Improbable","Rara Vez"))))</f>
        <v>Probable</v>
      </c>
      <c r="H17" s="570">
        <f>IF(EXACT($B17,""),"",IF(EXACT($E17,"RIESGO DE GESTIÓN"),IF(EXACT([22]AnálisisRiesgos!$G9,"X"),5,IF(EXACT([22]AnálisisRiesgos!$H9,"X"),4,IF(EXACT([22]AnálisisRiesgos!$I9,"X"),3,IF(EXACT([22]AnálisisRiesgos!$J9,"X"),2,1)))),IF(EXACT([22]AnálisisRiesgos!$L9,"X"),20,IF(EXACT([22]AnálisisRiesgos!$M9,"X"),10,5))))</f>
        <v>10</v>
      </c>
      <c r="I17" s="570" t="str">
        <f t="shared" ref="I17:I22" si="1">IF(EXACT($E17,"RIESGO DE GESTIÓN"),IF(EXACT($H17,1),"Insignificante",IF(EXACT($H17,2),"Menor",IF(EXACT($H17,3),"Moderado",IF(EXACT($H17,4),"Mayor","Catastrófico")))),IF(EXACT($H17,5),"Moderado",IF(EXACT($H17,10),"Mayor","Catastrófico")))</f>
        <v>Mayor</v>
      </c>
      <c r="J17" s="613" t="s">
        <v>51</v>
      </c>
      <c r="K17" s="614" t="s">
        <v>389</v>
      </c>
      <c r="L17" s="1101" t="s">
        <v>10</v>
      </c>
      <c r="M17" s="1102"/>
      <c r="N17" s="706" t="s">
        <v>51</v>
      </c>
      <c r="O17" s="102" t="s">
        <v>110</v>
      </c>
      <c r="P17" s="712" t="s">
        <v>120</v>
      </c>
      <c r="Q17" s="108" t="s">
        <v>390</v>
      </c>
      <c r="R17" s="102" t="s">
        <v>391</v>
      </c>
      <c r="S17" s="615">
        <v>42947</v>
      </c>
      <c r="T17" s="616" t="s">
        <v>392</v>
      </c>
      <c r="U17" s="617" t="s">
        <v>116</v>
      </c>
      <c r="V17" s="618" t="s">
        <v>393</v>
      </c>
      <c r="W17" s="619"/>
      <c r="X17" s="619"/>
      <c r="Y17" s="619"/>
      <c r="Z17" s="619"/>
      <c r="AA17" s="619"/>
      <c r="AB17" s="619"/>
      <c r="AC17" s="619"/>
      <c r="AD17" s="619"/>
      <c r="AE17" s="619"/>
      <c r="AF17" s="619"/>
      <c r="AG17" s="28" t="str">
        <f>IF(AND(L17&gt;0,'[21]Evalaucion Riesgo R1'!$F$11&gt;75,F17=3,H17=5),$H$27,IF(AND(L17&gt;0,'[21]Evalaucion Riesgo R1'!$F$11&gt;75,F17=3,H17=10),$J$27,IF(AND(L17&gt;0,'[21]Evalaucion Riesgo R1'!$F$11&gt;75,F17=3,H17=20),$K$27," ")))</f>
        <v xml:space="preserve"> </v>
      </c>
      <c r="AH17" s="28" t="str">
        <f>IF(AND(L17&gt;0,'[21]Evalaucion Riesgo R1'!$F$11&gt;75,F17=4,H17=5),$H$28,IF(AND(L17&gt;0,'[21]Evalaucion Riesgo R1'!$F$11&gt;75,F17=4,H17=10),$J$28,IF(AND(L17&gt;0,'[21]Evalaucion Riesgo R1'!$F$11&gt;75,F17=4,H17=20),$K$28," ")))</f>
        <v>M</v>
      </c>
      <c r="AI17" s="28" t="str">
        <f>IF(AND(L17&gt;0,'[21]Evalaucion Riesgo R1'!$F$11&gt;75,F17=5,H17=5),$H$29,IF(AND(L17&gt;0,'[21]Evalaucion Riesgo R1'!$F$11&gt;75,F17=5,H17=10),$J$29,IF(AND(L17&gt;0,'[21]Evalaucion Riesgo R1'!$F$11&gt;75,F17=5,H17=20),$K$29," ")))</f>
        <v xml:space="preserve"> </v>
      </c>
      <c r="AJ17" s="29" t="s">
        <v>32</v>
      </c>
      <c r="AK17" s="28" t="str">
        <f>IF(AND(L17&gt;0,'[21]Evalaucion Riesgo R1'!$F$11&gt;50,'[21]Evalaucion Riesgo R1'!$F$11&lt;76,F17=1,H17=5),$H$27,IF(AND(L17&gt;0,'[21]Evalaucion Riesgo R1'!$F$11&gt;50,'[21]Evalaucion Riesgo R1'!$F$11&lt;76,F17=1,H17=10),$J$27,IF(AND(L17&gt;0,'[21]Evalaucion Riesgo R1'!$F$11&gt;50,'[21]Evalaucion Riesgo R1'!$F$11&lt;76,F17=1,H17=20),$K$27," ")))</f>
        <v xml:space="preserve"> </v>
      </c>
      <c r="AL17" s="28" t="str">
        <f>IF(AND(L17&gt;0,'[21]Evalaucion Riesgo R1'!$F$11&gt;50,'[21]Evalaucion Riesgo R1'!$F$11&lt;76,F17=2,H17=5),$H$27,IF(AND(L17&gt;0,'[21]Evalaucion Riesgo R1'!$F$11&gt;50,'[21]Evalaucion Riesgo R1'!$F$11&lt;76,F17=2,H17=10),$J$27,IF(AND(L17&gt;0,'[21]Evalaucion Riesgo R1'!$F$11&gt;50,'[21]Evalaucion Riesgo R1'!$F$11&lt;76,F17=2,H17=20),$K$27," ")))</f>
        <v xml:space="preserve"> </v>
      </c>
      <c r="AM17" s="28" t="str">
        <f>IF(AND(L17&gt;0,'[21]Evalaucion Riesgo R1'!$F$11&gt;50,'[21]Evalaucion Riesgo R1'!$F$11&lt;76,F17=3,H17=5),$H$28,IF(AND(L17&gt;0,'[21]Evalaucion Riesgo R1'!$F$11&gt;50,'[21]Evalaucion Riesgo R1'!$F$11&lt;76,F17=3,H17=10),$J$28,IF(AND(L17&gt;0,'[21]Evalaucion Riesgo R1'!$F$11&gt;50,'[21]Evalaucion Riesgo R1'!$F$11&lt;76,F17=3,H17=20),$K$28," ")))</f>
        <v xml:space="preserve"> </v>
      </c>
      <c r="AN17" s="28" t="str">
        <f>IF(AND(L17&gt;0,'[21]Evalaucion Riesgo R1'!$F$11&gt;50,'[21]Evalaucion Riesgo R1'!$F$11&lt;76,F17=4,H17=5),$H$29,IF(AND(L17&gt;0,'[21]Evalaucion Riesgo R1'!$F$11&gt;50,'[21]Evalaucion Riesgo R1'!$F$11&lt;76,F17=4,H17=10),$J$29,IF(AND(L17&gt;0,'[21]Evalaucion Riesgo R1'!$F$11&gt;50,'[21]Evalaucion Riesgo R1'!$F$11&lt;76,F17=4,H17=20),$K$29," ")))</f>
        <v xml:space="preserve"> </v>
      </c>
      <c r="AO17" s="28" t="str">
        <f>IF(AND(L17&gt;0,'[21]Evalaucion Riesgo R1'!$F$11&gt;50,'[21]Evalaucion Riesgo R1'!$F$11&lt;76,F17=5,H17=5),$H$30,IF(AND(L17&gt;0,'[21]Evalaucion Riesgo R1'!$F$11&gt;50,'[21]Evalaucion Riesgo R1'!$F$11&lt;76,F17=5,H17=10),$J$30,IF(AND(L17&gt;0,'[21]Evalaucion Riesgo R1'!$F$11&gt;50,'[21]Evalaucion Riesgo R1'!$F$11&lt;76,F17=5,H17=20),$K$30," ")))</f>
        <v xml:space="preserve"> </v>
      </c>
      <c r="AQ17" s="29" t="s">
        <v>33</v>
      </c>
      <c r="AR17" s="28" t="str">
        <f>IF(AND(L17&gt;0,'[21]Evalaucion Riesgo R1'!$F$11&lt;51,F17=1,H17=5),$H$27,IF(AND(L17&gt;0,'[21]Evalaucion Riesgo R1'!$F$11&lt;51,F17=1,H17=10),$J$27,IF(AND(L17&gt;0,'[21]Evalaucion Riesgo R1'!$F$11&lt;51,F17=1,H17=20),K$27," ")))</f>
        <v xml:space="preserve"> </v>
      </c>
      <c r="AS17" s="28" t="str">
        <f>IF(AND(L17&gt;0,'[21]Evalaucion Riesgo R1'!$F$11&lt;51,F17=2,H17=5),$H$28,IF(AND(L17&gt;0,'[21]Evalaucion Riesgo R1'!$F$11&lt;51,F17=2,H17=10),$J$28,IF(AND(L17&gt;0,'[21]Evalaucion Riesgo R1'!$F$11&lt;51,F17=2,H17=20),K$28," ")))</f>
        <v xml:space="preserve"> </v>
      </c>
      <c r="AT17" s="28" t="str">
        <f>IF(AND(L17&gt;0,'[21]Evalaucion Riesgo R1'!$F$11&lt;51,F17=3,H17=5),$H$29,IF(AND(L17&gt;0,'[21]Evalaucion Riesgo R1'!$F$11&lt;51,F17=3,H17=10),$J$29,IF(AND(L17&gt;0,'[21]Evalaucion Riesgo R1'!$F$11&lt;51,F17=3,H17=20),K$29," ")))</f>
        <v xml:space="preserve"> </v>
      </c>
      <c r="AU17" s="28" t="str">
        <f>IF(AND(L17&gt;0,'[21]Evalaucion Riesgo R1'!$F$11&lt;51,F17=4,H17=5),$H$30,IF(AND(L17&gt;0,'[21]Evalaucion Riesgo R1'!$F$11&lt;51,F17=4,H17=10),$J$30,IF(AND(L17&gt;0,'[21]Evalaucion Riesgo R1'!$F$11&lt;51,F17=4,H17=20),K$30," ")))</f>
        <v xml:space="preserve"> </v>
      </c>
      <c r="AV17" s="28" t="str">
        <f>IF(AND(L17&gt;0,'[21]Evalaucion Riesgo R1'!$F$11&lt;51,F17=5,H17=5),$H$31,IF(AND(L17&gt;0,'[21]Evalaucion Riesgo R1'!$F$11&lt;51,F17=5,H17=10),$J$31,IF(AND(L17&gt;0,'[21]Evalaucion Riesgo R1'!$F$11&lt;51,F17=5,H17=20),K$31," ")))</f>
        <v xml:space="preserve"> </v>
      </c>
      <c r="AY17" s="29" t="s">
        <v>31</v>
      </c>
      <c r="AZ17" s="28" t="str">
        <f>IF(AND(M17&gt;0,'[21]Evalaucion Riesgo R1'!$F$11&gt;75,F17=1,H17=5),$H$27,IF(AND(M17&gt;0,'[21]Evalaucion Riesgo R1'!$F$11&gt;75,F17=1,H17=10),$H$27,IF(AND(M17&gt;0,'[21]Evalaucion Riesgo R1'!$F$11&gt;75,F17=1,H17=20),$H$27," ")))</f>
        <v xml:space="preserve"> </v>
      </c>
      <c r="BA17" s="28" t="str">
        <f>IF(AND(M17&gt;0,'[21]Evalaucion Riesgo R1'!$F$11&gt;75,F17=2,H17=5),$H$28,IF(AND(M17&gt;0,'[21]Evalaucion Riesgo R1'!$F$11&gt;75,F17=2,H17=10),$H$28,IF(AND(M17&gt;0,'[21]Evalaucion Riesgo R1'!$F$11&gt;75,F17=2,H17=20),$H$28," ")))</f>
        <v xml:space="preserve"> </v>
      </c>
      <c r="BB17" s="28" t="str">
        <f>IF(AND(M17&gt;0,'[21]Evalaucion Riesgo R1'!$F$11&gt;75,F17=3,H17=5),$H$29,IF(AND(M17&gt;0,'[21]Evalaucion Riesgo R1'!$F$11&gt;75,F17=3,H17=10),$H$29,IF(AND(M17&gt;0,'[21]Evalaucion Riesgo R1'!$F$11&gt;75,F17=3,H17=20),$H$29," ")))</f>
        <v xml:space="preserve"> </v>
      </c>
      <c r="BC17" s="28" t="str">
        <f>IF(AND(M17&gt;0,'[21]Evalaucion Riesgo R1'!$F$11&gt;75,F17=4,H17=5),$H$30,IF(AND(M17&gt;0,'[21]Evalaucion Riesgo R1'!$F$11&gt;75,F17=4,H17=10),$H$30,IF(AND(M17&gt;0,'[21]Evalaucion Riesgo R1'!$F$11&gt;75,F17=4,H17=20),$H$30," ")))</f>
        <v xml:space="preserve"> </v>
      </c>
      <c r="BD17" s="28" t="str">
        <f>IF(AND(M17&gt;0,'[21]Evalaucion Riesgo R1'!$F$11&gt;75,F17=5,H17=5),$H$31,IF(AND(M17&gt;0,'[21]Evalaucion Riesgo R1'!$F$11&gt;75,F17=5,H17=10),$H$31,IF(AND(M17&gt;0,'[21]Evalaucion Riesgo R1'!$F$11&gt;75,F17=5,H17=20),$H$31," ")))</f>
        <v xml:space="preserve"> </v>
      </c>
      <c r="BF17" s="29" t="s">
        <v>32</v>
      </c>
      <c r="BG17" s="28" t="str">
        <f>IF(AND(M17&gt;0,'[21]Evalaucion Riesgo R1'!$F$11&gt;50,'[21]Evalaucion Riesgo R1'!$F$11&lt;76,F17=1,H17=5),$H$27,IF(AND(M17&gt;0,'[21]Evalaucion Riesgo R1'!$F$11&gt;50,'[21]Evalaucion Riesgo R1'!$F$11&lt;76,F17=1,H17=10),$H$27,IF(AND(M17&gt;0,'[21]Evalaucion Riesgo R1'!$F$11&gt;50,'[21]Evalaucion Riesgo R1'!$F$11&lt;76,F17=1,H17=20),$J$27," ")))</f>
        <v xml:space="preserve"> </v>
      </c>
      <c r="BH17" s="28" t="str">
        <f>IF(AND(M17&gt;0,'[21]Evalaucion Riesgo R1'!$F$11&gt;50,'[21]Evalaucion Riesgo R1'!$F$11&lt;76,F17=2,H17=5),$H$28,IF(AND(M17&gt;0,'[21]Evalaucion Riesgo R1'!$F$11&gt;50,'[21]Evalaucion Riesgo R1'!$F$11&lt;76,F17=2,H17=10),$H$28,IF(AND(M17&gt;0,'[21]Evalaucion Riesgo R1'!$F$11&gt;50,'[21]Evalaucion Riesgo R1'!$F$11&lt;76,F17=2,H17=20),$J$28," ")))</f>
        <v xml:space="preserve"> </v>
      </c>
      <c r="BI17" s="28" t="str">
        <f>IF(AND(M17&gt;0,'[21]Evalaucion Riesgo R1'!$F$11&gt;50,'[21]Evalaucion Riesgo R1'!$F$11&lt;76,F17=3,H17=5),$H$29,IF(AND(M17&gt;0,'[21]Evalaucion Riesgo R1'!$F$11&gt;50,'[21]Evalaucion Riesgo R1'!$F$11&lt;76,F17=3,H17=10),$H$29,IF(AND(M17&gt;0,'[21]Evalaucion Riesgo R1'!$F$11&gt;50,'[21]Evalaucion Riesgo R1'!$F$11&lt;76,F17=3,H17=20),$J$29," ")))</f>
        <v xml:space="preserve"> </v>
      </c>
      <c r="BJ17" s="28" t="str">
        <f>IF(AND(M17&gt;0,'[21]Evalaucion Riesgo R1'!$F$11&gt;50,'[21]Evalaucion Riesgo R1'!$F$11&lt;76,F17=4,H17=5),$H$30,IF(AND(M17&gt;0,'[21]Evalaucion Riesgo R1'!$F$11&gt;50,'[21]Evalaucion Riesgo R1'!$F$11&lt;76,F17=4,H17=10),$H$30,IF(AND(M17&gt;0,'[21]Evalaucion Riesgo R1'!$F$11&gt;50,'[21]Evalaucion Riesgo R1'!$F$11&lt;76,F17=4,H17=20),$J$30," ")))</f>
        <v xml:space="preserve"> </v>
      </c>
      <c r="BK17" s="28" t="str">
        <f>IF(AND(M17&gt;0,'[21]Evalaucion Riesgo R1'!$F$11&gt;50,'[21]Evalaucion Riesgo R1'!$F$11&lt;76,F17=5,H17=5),$H$31,IF(AND(M17&gt;0,'[21]Evalaucion Riesgo R1'!$F$11&gt;50,'[21]Evalaucion Riesgo R1'!$F$11&lt;76,F17=5,H17=10),$H$31,IF(AND(M17&gt;0,'[21]Evalaucion Riesgo R1'!$F$11&gt;50,'[21]Evalaucion Riesgo R1'!$F$11&lt;76,F17=5,H17=20),$J$31," ")))</f>
        <v xml:space="preserve"> </v>
      </c>
      <c r="BM17" s="29" t="s">
        <v>33</v>
      </c>
      <c r="BN17" s="28" t="str">
        <f>IF(AND(M17&gt;0,'[21]Evalaucion Riesgo R1'!$F$11&lt;51,F17=1,H17=5),$H$27,IF(AND(M17&gt;0,'[21]Evalaucion Riesgo R1'!$F$11&lt;51,F17=1,H17=10),$J$27,IF(AND(M17&gt;0,'[21]Evalaucion Riesgo R1'!$F$11&lt;51,F17=1,H17=20),$K$27," ")))</f>
        <v xml:space="preserve"> </v>
      </c>
      <c r="BO17" s="28" t="str">
        <f>IF(AND(M17&gt;0,'[21]Evalaucion Riesgo R1'!$F$11&lt;51,F17=2,H17=5),$H$28,IF(AND(M17&gt;0,'[21]Evalaucion Riesgo R1'!$F$11&lt;51,F17=2,H17=10),$J$28,IF(AND(M17&gt;0,'[21]Evalaucion Riesgo R1'!$F$11&lt;51,F17=2,H17=20),$K$28," ")))</f>
        <v xml:space="preserve"> </v>
      </c>
      <c r="BP17" s="28" t="str">
        <f>IF(AND(M17&gt;0,'[21]Evalaucion Riesgo R1'!$F$11&lt;51,F17=3,H17=5),$H$29,IF(AND(M17&gt;0,'[21]Evalaucion Riesgo R1'!$F$11&lt;51,F17=3,H17=10),$J$29,IF(AND(M17&gt;0,'[21]Evalaucion Riesgo R1'!$F$11&lt;51,F17=3,H17=20),$K$29," ")))</f>
        <v xml:space="preserve"> </v>
      </c>
      <c r="BQ17" s="28" t="str">
        <f>IF(AND(M17&gt;0,'[21]Evalaucion Riesgo R1'!$F$11&lt;51,F17=4,H17=5),$H$30,IF(AND(M17&gt;0,'[21]Evalaucion Riesgo R1'!$F$11&lt;51,F17=4,H17=10),$J$30,IF(AND(M17&gt;0,'[21]Evalaucion Riesgo R1'!$F$11&lt;51,F17=4,H17=20),$K$30," ")))</f>
        <v xml:space="preserve"> </v>
      </c>
      <c r="BR17" s="28" t="str">
        <f>IF(AND(M17&gt;0,'[21]Evalaucion Riesgo R1'!$F$11&lt;51,F17=5,H17=5),$H$31,IF(AND(M17&gt;0,'[21]Evalaucion Riesgo R1'!$F$11&lt;51,F17=5,H17=10),$J$31,IF(AND(M17&gt;0,'[21]Evalaucion Riesgo R1'!$F$11&lt;51,F17=5,H17=20),$K$31," ")))</f>
        <v xml:space="preserve"> </v>
      </c>
    </row>
    <row r="18" spans="1:70" ht="381" customHeight="1" thickBot="1" x14ac:dyDescent="0.4">
      <c r="A18" s="708" t="str">
        <f>IF(ISTEXT([23]IdentificaciónRiesgos!$B7),[23]IdentificaciónRiesgos!$A7,"")</f>
        <v xml:space="preserve">1. Ausencia y/o aplicación de controles en la cadena de custodia 
2. Falta de recursos   tecnológicos y humanos para el manejo de las historias laborales   
3.No digitalización de historias laborales                                                   
4. Manipulación inadecuada de los usuarios.
</v>
      </c>
      <c r="B18" s="709" t="str">
        <f>IF(ISTEXT([23]IdentificaciónRiesgos!$B7),[23]IdentificaciónRiesgos!$B7,"")</f>
        <v>Manipulación e inadecuado manejo de información de las historias
laborales de los funcionarios para beneficio de
un tercero.</v>
      </c>
      <c r="C18" s="709" t="str">
        <f>IF(ISTEXT([23]IdentificaciónRiesgos!$B7),[23]IdentificaciónRiesgos!$C7,"")</f>
        <v xml:space="preserve">Emisión de documentos irregulares, certificaciones laborales con información incorrecta en beneficio del solicitante. </v>
      </c>
      <c r="D18" s="709" t="str">
        <f>IF(ISTEXT([23]IdentificaciónRiesgos!$B7),[23]IdentificaciónRiesgos!$D7,"")</f>
        <v xml:space="preserve">
3. Sanciones disciplinarias
4. Perdida de la  información y falta de credibilidad en los procesos de la Entidad
</v>
      </c>
      <c r="E18" s="709" t="str">
        <f>IF(ISTEXT([23]IdentificaciónRiesgos!$B7),VLOOKUP($C18,[23]DefiniciónRiesgos!$A$4:$F$9,6,FALSE),"")</f>
        <v>RIESGO DE CORRUPCIÓN</v>
      </c>
      <c r="F18" s="710">
        <f>IF(ISTEXT([23]IdentificaciónRiesgos!$B7),IF(EXACT([23]AnálisisRiesgos!$B10,"X"),5,IF(EXACT([23]AnálisisRiesgos!$C10,"X"),4,IF(EXACT([23]AnálisisRiesgos!$D10,"X"),3,IF(EXACT([23]AnálisisRiesgos!$E10,"X"),2,IF(EXACT([23]AnálisisRiesgos!$F10,"X"),1,""))))),"")</f>
        <v>3</v>
      </c>
      <c r="G18" s="710" t="str">
        <f t="shared" si="0"/>
        <v>Posible</v>
      </c>
      <c r="H18" s="710">
        <f>IF(EXACT($B18,""),"",IF(EXACT($E18,"RIESGO DE GESTIÓN"),IF(EXACT([23]AnálisisRiesgos!$G10,"X"),5,IF(EXACT([23]AnálisisRiesgos!$H10,"X"),4,IF(EXACT([23]AnálisisRiesgos!$I10,"X"),3,IF(EXACT([23]AnálisisRiesgos!$J10,"X"),2,1)))),IF(EXACT([23]AnálisisRiesgos!$L10,"X"),20,IF(EXACT([23]AnálisisRiesgos!$M10,"X"),10,5))))</f>
        <v>10</v>
      </c>
      <c r="I18" s="710" t="str">
        <f t="shared" si="1"/>
        <v>Mayor</v>
      </c>
      <c r="J18" s="707" t="s">
        <v>51</v>
      </c>
      <c r="K18" s="718" t="s">
        <v>417</v>
      </c>
      <c r="L18" s="1101" t="s">
        <v>26</v>
      </c>
      <c r="M18" s="1102"/>
      <c r="N18" s="710" t="s">
        <v>51</v>
      </c>
      <c r="O18" s="712" t="s">
        <v>110</v>
      </c>
      <c r="P18" s="712" t="s">
        <v>120</v>
      </c>
      <c r="Q18" s="717" t="s">
        <v>418</v>
      </c>
      <c r="R18" s="712" t="s">
        <v>419</v>
      </c>
      <c r="S18" s="714">
        <v>42947</v>
      </c>
      <c r="T18" s="715" t="s">
        <v>420</v>
      </c>
      <c r="U18" s="716" t="s">
        <v>421</v>
      </c>
      <c r="V18" s="713" t="s">
        <v>422</v>
      </c>
      <c r="X18" s="28" t="str">
        <f>IF(AND(F18=1,H18=5),$H$27,IF(AND(F18=1,H18=10),$J$27,IF(AND(F18=1,H18=20),$K$27," ")))</f>
        <v xml:space="preserve"> </v>
      </c>
      <c r="Y18" s="28" t="str">
        <f>IF(AND(F18=2,H18=5),$H$28,IF(AND(F18=2,H18=10),$J$28,IF(AND(F18=2,H18=20),$K$28," ")))</f>
        <v xml:space="preserve"> </v>
      </c>
      <c r="Z18" s="28" t="str">
        <f>IF(AND(F18=3,H18=5),$H$29,IF(AND(F18=3,H18=10),$J$29,IF(AND(F18=3,H18=20),$K$29," ")))</f>
        <v>A</v>
      </c>
      <c r="AA18" s="28" t="str">
        <f>IF(AND(F18=4,H18=5),$H$30,IF(AND(F18=4,H18=10),$J$30,IF(AND(F18=4,H18=20),$K$30," ")))</f>
        <v xml:space="preserve"> </v>
      </c>
      <c r="AB18" s="28" t="str">
        <f>IF(AND(F18=5,H18=5),$H$31,IF(AND(F18=5,H18=10),$J$31,IF(AND(F18=5,H18=20),$K$31," ")))</f>
        <v xml:space="preserve"> </v>
      </c>
      <c r="AE18" s="28" t="str">
        <f>IF(AND(L18&gt;0,'[21]Evalaucion Riesgo R2'!$F$11&gt;75,F18=1,H18=5),$H$27,IF(AND(L18&gt;0,'[21]Evalaucion Riesgo R2'!$F$11&gt;75,F18=1,H18=10),$J$27,IF(AND(L18&gt;0,'[21]Evalaucion Riesgo R2'!$F$11&gt;75,F18=1,H18=20),$K$27," ")))</f>
        <v xml:space="preserve"> </v>
      </c>
      <c r="AF18" s="28" t="str">
        <f>IF(AND(L18&gt;0,'[21]Evalaucion Riesgo R2'!$F$11&gt;75,F18=2,H18=5),$H$27,IF(AND(L18&gt;0,'[21]Evalaucion Riesgo R2'!$F$11&gt;75,F18=2,H18=10),$J$27,IF(AND(L18&gt;0,'[21]Evalaucion Riesgo R2'!$F$11&gt;75,F18=2,H18=20),$K$27," ")))</f>
        <v xml:space="preserve"> </v>
      </c>
      <c r="AG18" s="28" t="str">
        <f>IF(AND(L18&gt;0,'[21]Evalaucion Riesgo R2'!$F$11&gt;75,F18=3,H18=5),$H$27,IF(AND(L18&gt;0,'[21]Evalaucion Riesgo R2'!$F$11&gt;75,F18=3,H18=10),$J$27,IF(AND(L18&gt;0,'[21]Evalaucion Riesgo R2'!$F$11&gt;75,F18=3,H18=20),$K$27," ")))</f>
        <v xml:space="preserve"> </v>
      </c>
      <c r="AH18" s="28" t="str">
        <f>IF(AND(L18&gt;0,'[21]Evalaucion Riesgo R2'!$F$11&gt;75,F18=4,H18=5),$H$28,IF(AND(L18&gt;0,'[21]Evalaucion Riesgo R2'!$F$11&gt;75,F18=4,H18=10),$J$28,IF(AND(L18&gt;0,'[21]Evalaucion Riesgo R2'!$F$11&gt;75,F18=4,H18=20),$K$28," ")))</f>
        <v xml:space="preserve"> </v>
      </c>
      <c r="AI18" s="28" t="str">
        <f>IF(AND(L18&gt;0,'[21]Evalaucion Riesgo R2'!$F$11&gt;75,F18=5,H18=5),$H$29,IF(AND(L18&gt;0,'[21]Evalaucion Riesgo R2'!$F$11&gt;75,F18=5,H18=10),$J$29,IF(AND(L18&gt;0,'[21]Evalaucion Riesgo R2'!$F$11&gt;75,F18=5,H18=20),$K$29," ")))</f>
        <v xml:space="preserve"> </v>
      </c>
      <c r="AK18" s="28" t="str">
        <f>IF(AND(L18&gt;0,'[21]Evalaucion Riesgo R2'!$F$11&gt;50,'[21]Evalaucion Riesgo R2'!$F$11&lt;76,F18=1,H18=5),$H$27,IF(AND(L18&gt;0,'[21]Evalaucion Riesgo R2'!$F$11&gt;50,'[21]Evalaucion Riesgo R2'!$F$11&lt;76,F18=1,H18=10),$J$27,IF(AND(L18&gt;0,'[21]Evalaucion Riesgo R2'!$F$11&gt;50,'[21]Evalaucion Riesgo R2'!$F$11&lt;76,F18=1,H18=20),$K$27," ")))</f>
        <v xml:space="preserve"> </v>
      </c>
      <c r="AL18" s="28" t="str">
        <f>IF(AND(L18&gt;0,'[21]Evalaucion Riesgo R2'!$F$11&gt;50,'[21]Evalaucion Riesgo R2'!$F$11&lt;76,F18=2,H18=5),$H$27,IF(AND(L18&gt;0,'[21]Evalaucion Riesgo R2'!$F$11&gt;50,'[21]Evalaucion Riesgo R2'!$F$11&lt;76,F18=2,H18=10),$J$27,IF(AND(L18&gt;0,'[21]Evalaucion Riesgo R2'!$F$11&gt;50,'[21]Evalaucion Riesgo R2'!$F$11&lt;76,F18=2,H18=20),$K$27," ")))</f>
        <v xml:space="preserve"> </v>
      </c>
      <c r="AM18" s="28" t="str">
        <f>IF(AND(L18&gt;0,'[21]Evalaucion Riesgo R2'!$F$11&gt;50,'[21]Evalaucion Riesgo R2'!$F$11&lt;76,F18=3,H18=5),$H$28,IF(AND(L18&gt;0,'[21]Evalaucion Riesgo R2'!$F$11&gt;50,'[21]Evalaucion Riesgo R2'!$F$11&lt;76,F18=3,H18=10),$J$28,IF(AND(L18&gt;0,'[21]Evalaucion Riesgo R2'!$F$11&gt;50,'[21]Evalaucion Riesgo R2'!$F$11&lt;76,F18=3,H18=20),$K$28," ")))</f>
        <v xml:space="preserve"> </v>
      </c>
      <c r="AN18" s="28" t="str">
        <f>IF(AND(L18&gt;0,'[21]Evalaucion Riesgo R2'!$F$11&gt;50,'[21]Evalaucion Riesgo R2'!$F$11&lt;76,F18=4,H18=5),$H$29,IF(AND(L18&gt;0,'[21]Evalaucion Riesgo R2'!$F$11&gt;50,'[21]Evalaucion Riesgo R2'!$F$11&lt;76,F18=4,H18=10),$J$29,IF(AND(L18&gt;0,'[21]Evalaucion Riesgo R2'!$F$11&gt;50,'[21]Evalaucion Riesgo R2'!$F$11&lt;76,F18=4,H18=20),$K$29," ")))</f>
        <v xml:space="preserve"> </v>
      </c>
      <c r="AO18" s="28" t="str">
        <f>IF(AND(L18&gt;0,'[21]Evalaucion Riesgo R2'!$F$11&gt;50,'[21]Evalaucion Riesgo R2'!$F$11&lt;76,F18=5,H18=5),$H$30,IF(AND(L18&gt;0,'[21]Evalaucion Riesgo R2'!$F$11&gt;50,'[21]Evalaucion Riesgo R2'!$F$11&lt;76,F18=5,H18=10),$J$30,IF(AND(L18&gt;0,'[21]Evalaucion Riesgo R2'!$F$11&gt;50,'[21]Evalaucion Riesgo R2'!$F$11&lt;76,F18=5,H18=20),$K$30," ")))</f>
        <v xml:space="preserve"> </v>
      </c>
      <c r="AR18" s="28" t="str">
        <f>IF(AND(L18&gt;0,'[21]Evalaucion Riesgo R2'!$F$11&lt;51,F18=1,H18=5),$H$27,IF(AND(L18&gt;0,'[21]Evalaucion Riesgo R2'!$F$11&lt;51,F18=1,H18=10),$J$27,IF(AND(L18&gt;0,'[21]Evalaucion Riesgo R2'!$F$11&lt;51,F18=1,H18=20),K$27," ")))</f>
        <v xml:space="preserve"> </v>
      </c>
      <c r="AS18" s="28" t="str">
        <f>IF(AND(L18&gt;0,'[21]Evalaucion Riesgo R2'!$F$11&lt;51,F18=2,H18=5),$H$28,IF(AND(L18&gt;0,'[21]Evalaucion Riesgo R2'!$F$11&lt;51,F18=2,H18=10),$J$28,IF(AND(L18&gt;0,'[21]Evalaucion Riesgo R2'!$F$11&lt;51,F18=2,H18=20),K$28," ")))</f>
        <v xml:space="preserve"> </v>
      </c>
      <c r="AT18" s="28" t="str">
        <f>IF(AND(L18&gt;0,'[21]Evalaucion Riesgo R2'!$F$11&lt;51,F18=3,H18=5),$H$29,IF(AND(L18&gt;0,'[21]Evalaucion Riesgo R2'!$F$11&lt;51,F18=3,H18=10),$J$29,IF(AND(L18&gt;0,'[21]Evalaucion Riesgo R2'!$F$11&lt;51,F18=3,H18=20),K$29," ")))</f>
        <v>A</v>
      </c>
      <c r="AU18" s="28" t="str">
        <f>IF(AND(L18&gt;0,'[21]Evalaucion Riesgo R2'!$F$11&lt;51,F18=4,H18=5),$H$30,IF(AND(L18&gt;0,'[21]Evalaucion Riesgo R2'!$F$11&lt;51,F18=4,H18=10),$J$30,IF(AND(L18&gt;0,'[21]Evalaucion Riesgo R2'!$F$11&lt;51,F18=4,H18=20),K$30," ")))</f>
        <v xml:space="preserve"> </v>
      </c>
      <c r="AV18" s="28" t="str">
        <f>IF(AND(L18&gt;0,'[21]Evalaucion Riesgo R2'!$F$11&lt;51,F18=5,H18=5),$H$31,IF(AND(L18&gt;0,'[21]Evalaucion Riesgo R2'!$F$11&lt;51,F18=5,H18=10),$J$31,IF(AND(L18&gt;0,'[21]Evalaucion Riesgo R2'!$F$11&lt;51,F18=5,H18=20),K$31," ")))</f>
        <v xml:space="preserve"> </v>
      </c>
      <c r="AZ18" s="28" t="str">
        <f>IF(AND(M18&gt;0,'[21]Evalaucion Riesgo R2'!$F$11&gt;75,F18=1,H18=5),$H$27,IF(AND(M18&gt;0,'[21]Evalaucion Riesgo R2'!$F$11&gt;75,F18=1,H18=10),$H$27,IF(AND(M18&gt;0,'[21]Evalaucion Riesgo R2'!$F$11&gt;75,F18=1,H18=20),$H$27," ")))</f>
        <v xml:space="preserve"> </v>
      </c>
      <c r="BA18" s="28" t="str">
        <f>IF(AND(M18&gt;0,'[21]Evalaucion Riesgo R2'!$F$11&gt;75,F18=2,H18=5),$H$28,IF(AND(M18&gt;0,'[21]Evalaucion Riesgo R2'!$F$11&gt;75,F18=2,H18=10),$H$28,IF(AND(M18&gt;0,'[21]Evalaucion Riesgo R2'!$F$11&gt;75,F18=2,H18=20),$H$28," ")))</f>
        <v xml:space="preserve"> </v>
      </c>
      <c r="BB18" s="28" t="str">
        <f>IF(AND(M18&gt;0,'[21]Evalaucion Riesgo R2'!$F$11&gt;75,F18=3,H18=5),$H$29,IF(AND(M18&gt;0,'[21]Evalaucion Riesgo R2'!$F$11&gt;75,F18=3,H18=10),$H$29,IF(AND(M18&gt;0,'[21]Evalaucion Riesgo R2'!$F$11&gt;75,F18=3,H18=20),$H$29," ")))</f>
        <v xml:space="preserve"> </v>
      </c>
      <c r="BC18" s="28" t="str">
        <f>IF(AND(M18&gt;0,'[21]Evalaucion Riesgo R2'!$F$11&gt;75,F18=4,H18=5),$H$30,IF(AND(M18&gt;0,'[21]Evalaucion Riesgo R2'!$F$11&gt;75,F18=4,H18=10),$H$30,IF(AND(M18&gt;0,'[21]Evalaucion Riesgo R2'!$F$11&gt;75,F18=4,H18=20),$H$30," ")))</f>
        <v xml:space="preserve"> </v>
      </c>
      <c r="BD18" s="28" t="str">
        <f>IF(AND(M18&gt;0,'[21]Evalaucion Riesgo R2'!$F$11&gt;75,F18=5,H18=5),$H$31,IF(AND(M18&gt;0,'[21]Evalaucion Riesgo R2'!$F$11&gt;75,F18=5,H18=10),$H$31,IF(AND(M18&gt;0,'[21]Evalaucion Riesgo R2'!$F$11&gt;75,F18=5,H18=20),$H$31," ")))</f>
        <v xml:space="preserve"> </v>
      </c>
      <c r="BG18" s="28" t="str">
        <f>IF(AND(M18&gt;0,'[21]Evalaucion Riesgo R2'!$F$11&gt;50,'[21]Evalaucion Riesgo R2'!$F$11&lt;76,F18=1,H18=5),$H$27,IF(AND(M18&gt;0,'[21]Evalaucion Riesgo R2'!$F$11&gt;50,'[21]Evalaucion Riesgo R2'!$F$11&lt;76,F18=1,H18=10),$H$27,IF(AND(M18&gt;0,'[21]Evalaucion Riesgo R2'!$F$11&gt;50,'[21]Evalaucion Riesgo R2'!$F$11&lt;76,F18=1,H18=20),$J$27," ")))</f>
        <v xml:space="preserve"> </v>
      </c>
      <c r="BH18" s="28" t="str">
        <f>IF(AND(M18&gt;0,'[21]Evalaucion Riesgo R2'!$F$11&gt;50,'[21]Evalaucion Riesgo R2'!$F$11&lt;76,F18=2,H18=5),$H$28,IF(AND(M18&gt;0,'[21]Evalaucion Riesgo R2'!$F$11&gt;50,'[21]Evalaucion Riesgo R2'!$F$11&lt;76,F18=2,H18=10),$H$28,IF(AND(M18&gt;0,'[21]Evalaucion Riesgo R2'!$F$11&gt;50,'[21]Evalaucion Riesgo R2'!$F$11&lt;76,F18=2,H18=20),$J$28," ")))</f>
        <v xml:space="preserve"> </v>
      </c>
      <c r="BI18" s="28" t="str">
        <f>IF(AND(M18&gt;0,'[21]Evalaucion Riesgo R2'!$F$11&gt;50,'[21]Evalaucion Riesgo R2'!$F$11&lt;76,F18=3,H18=5),$H$29,IF(AND(M18&gt;0,'[21]Evalaucion Riesgo R2'!$F$11&gt;50,'[21]Evalaucion Riesgo R2'!$F$11&lt;76,F18=3,H18=10),$H$29,IF(AND(M18&gt;0,'[21]Evalaucion Riesgo R2'!$F$11&gt;50,'[21]Evalaucion Riesgo R2'!$F$11&lt;76,F18=3,H18=20),$J$29," ")))</f>
        <v xml:space="preserve"> </v>
      </c>
      <c r="BJ18" s="28" t="str">
        <f>IF(AND(M18&gt;0,'[21]Evalaucion Riesgo R2'!$F$11&gt;50,'[21]Evalaucion Riesgo R2'!$F$11&lt;76,F18=4,H18=5),$H$30,IF(AND(M18&gt;0,'[21]Evalaucion Riesgo R2'!$F$11&gt;50,'[21]Evalaucion Riesgo R2'!$F$11&lt;76,F18=4,H18=10),$H$30,IF(AND(M18&gt;0,'[21]Evalaucion Riesgo R2'!$F$11&gt;50,'[21]Evalaucion Riesgo R2'!$F$11&lt;76,F18=4,H18=20),$J$30," ")))</f>
        <v xml:space="preserve"> </v>
      </c>
      <c r="BK18" s="28" t="str">
        <f>IF(AND(M18&gt;0,'[21]Evalaucion Riesgo R2'!$F$11&gt;50,'[21]Evalaucion Riesgo R2'!$F$11&lt;76,F18=5,H18=5),$H$31,IF(AND(M18&gt;0,'[21]Evalaucion Riesgo R2'!$F$11&gt;50,'[21]Evalaucion Riesgo R2'!$F$11&lt;76,F18=5,H18=10),$H$31,IF(AND(M18&gt;0,'[21]Evalaucion Riesgo R2'!$F$11&gt;50,'[21]Evalaucion Riesgo R2'!$F$11&lt;76,F18=5,H18=20),$J$31," ")))</f>
        <v xml:space="preserve"> </v>
      </c>
      <c r="BN18" s="28" t="str">
        <f>IF(AND(M18&gt;0,'[21]Evalaucion Riesgo R2'!$F$11&lt;51,F18=1,H18=5),$H$27,IF(AND(M18&gt;0,'[21]Evalaucion Riesgo R2'!$F$11&lt;51,F18=1,H18=10),$J$27,IF(AND(M18&gt;0,'[21]Evalaucion Riesgo R2'!$F$11&lt;51,F18=1,H18=20),$K$27," ")))</f>
        <v xml:space="preserve"> </v>
      </c>
      <c r="BO18" s="28" t="str">
        <f>IF(AND(M18&gt;0,'[21]Evalaucion Riesgo R2'!$F$11&lt;51,F18=2,H18=5),$H$28,IF(AND(M18&gt;0,'[21]Evalaucion Riesgo R2'!$F$11&lt;51,F18=2,H18=10),$J$28,IF(AND(M18&gt;0,'[21]Evalaucion Riesgo R2'!$F$11&lt;51,F18=2,H18=20),$K$28," ")))</f>
        <v xml:space="preserve"> </v>
      </c>
      <c r="BP18" s="28" t="str">
        <f>IF(AND(M18&gt;0,'[21]Evalaucion Riesgo R2'!$F$11&lt;51,F18=3,H18=5),$H$29,IF(AND(M18&gt;0,'[21]Evalaucion Riesgo R2'!$F$11&lt;51,F18=3,H18=10),$J$29,IF(AND(M18&gt;0,'[21]Evalaucion Riesgo R2'!$F$11&lt;51,F18=3,H18=20),$K$29," ")))</f>
        <v xml:space="preserve"> </v>
      </c>
      <c r="BQ18" s="28" t="str">
        <f>IF(AND(M18&gt;0,'[21]Evalaucion Riesgo R2'!$F$11&lt;51,F18=4,H18=5),$H$30,IF(AND(M18&gt;0,'[21]Evalaucion Riesgo R2'!$F$11&lt;51,F18=4,H18=10),$J$30,IF(AND(M18&gt;0,'[21]Evalaucion Riesgo R2'!$F$11&lt;51,F18=4,H18=20),$K$30," ")))</f>
        <v xml:space="preserve"> </v>
      </c>
      <c r="BR18" s="28" t="str">
        <f>IF(AND(M18&gt;0,'[21]Evalaucion Riesgo R2'!$F$11&lt;51,F18=5,H18=5),$H$31,IF(AND(M18&gt;0,'[21]Evalaucion Riesgo R2'!$F$11&lt;51,F18=5,H18=10),$J$31,IF(AND(M18&gt;0,'[21]Evalaucion Riesgo R2'!$F$11&lt;51,F18=5,H18=20),$K$31," ")))</f>
        <v xml:space="preserve"> </v>
      </c>
    </row>
    <row r="19" spans="1:70" ht="284.25" customHeight="1" thickBot="1" x14ac:dyDescent="0.4">
      <c r="A19" s="708" t="str">
        <f>IF(ISTEXT([23]IdentificaciónRiesgos!$B8),[23]IdentificaciónRiesgos!$A8,"")</f>
        <v xml:space="preserve">
 1. Desconocimiento de las normas y del procedimiento       
2. Error en la parametrización de los conceptos salariales y de descuentos para la liquidación de nómina    
3. Fallas en el aplicativo PERNO del Sistema de Personal y Nómina del Instituto.
4. Demoras en el trámite de los actos administrativos. 
5.. Que los datos incluidos en la nómina no correspondan al soporte enviado o al funcionario, y se genere un error en el valor cancelado mensual.
6. Error humano
</v>
      </c>
      <c r="B19" s="709" t="str">
        <f>IF(ISTEXT([23]IdentificaciónRiesgos!$B8),[23]IdentificaciónRiesgos!$B8,"")</f>
        <v xml:space="preserve">Manipulación en la liquidación de la nómina e inconsistencia en la información de novedades de personal. </v>
      </c>
      <c r="C19" s="709" t="str">
        <f>IF(ISTEXT([23]IdentificaciónRiesgos!$B8),[23]IdentificaciónRiesgos!$C8,"")</f>
        <v xml:space="preserve">Omitir o registrar inoportuna y/o incorrectamente cualquier novedad relacionada con los funcionarios del Instituto en el Sistema PERNO </v>
      </c>
      <c r="D19" s="709" t="str">
        <f>IF(ISTEXT([23]IdentificaciónRiesgos!$B8),[23]IdentificaciónRiesgos!$D8,"")</f>
        <v xml:space="preserve">    
 1. Investigaciones disciplinarias  
 2. Demandas y sanciones disciplinarias  
3. Pagos indebidos  
4. Afectación de la imagen de la entidad
 5. Peticiones, quejas, reclamos y derechos por parte de los afectados
6. Detrimento patrimonial</v>
      </c>
      <c r="E19" s="709" t="str">
        <f>IF(ISTEXT([23]IdentificaciónRiesgos!$B8),VLOOKUP($C19,[23]DefiniciónRiesgos!$A$4:$F$9,6,FALSE),"")</f>
        <v>RIESGO DE CORRUPCIÓN</v>
      </c>
      <c r="F19" s="710">
        <f>IF(ISTEXT([23]IdentificaciónRiesgos!$B8),IF(EXACT([23]AnálisisRiesgos!$B11,"X"),5,IF(EXACT([23]AnálisisRiesgos!$C11,"X"),4,IF(EXACT([23]AnálisisRiesgos!$D11,"X"),3,IF(EXACT([23]AnálisisRiesgos!$E11,"X"),2,IF(EXACT([23]AnálisisRiesgos!$F11,"X"),1,""))))),"")</f>
        <v>4</v>
      </c>
      <c r="G19" s="710" t="str">
        <f t="shared" si="0"/>
        <v>Probable</v>
      </c>
      <c r="H19" s="710">
        <f>IF(EXACT($B19,""),"",IF(EXACT($E19,"RIESGO DE GESTIÓN"),IF(EXACT([23]AnálisisRiesgos!$G11,"X"),5,IF(EXACT([23]AnálisisRiesgos!$H11,"X"),4,IF(EXACT([23]AnálisisRiesgos!$I11,"X"),3,IF(EXACT([23]AnálisisRiesgos!$J11,"X"),2,1)))),IF(EXACT([23]AnálisisRiesgos!$L11,"X"),20,IF(EXACT([23]AnálisisRiesgos!$M11,"X"),10,5))))</f>
        <v>10</v>
      </c>
      <c r="I19" s="710" t="str">
        <f t="shared" si="1"/>
        <v>Mayor</v>
      </c>
      <c r="J19" s="707" t="s">
        <v>51</v>
      </c>
      <c r="K19" s="718" t="s">
        <v>417</v>
      </c>
      <c r="L19" s="1101" t="s">
        <v>26</v>
      </c>
      <c r="M19" s="1102"/>
      <c r="N19" s="710" t="s">
        <v>51</v>
      </c>
      <c r="O19" s="710" t="s">
        <v>110</v>
      </c>
      <c r="P19" s="712" t="s">
        <v>120</v>
      </c>
      <c r="Q19" s="717" t="s">
        <v>418</v>
      </c>
      <c r="R19" s="712" t="s">
        <v>419</v>
      </c>
      <c r="S19" s="714">
        <v>42947</v>
      </c>
      <c r="T19" s="715" t="s">
        <v>420</v>
      </c>
      <c r="U19" s="716" t="s">
        <v>421</v>
      </c>
      <c r="V19" s="713" t="s">
        <v>422</v>
      </c>
      <c r="X19" s="28" t="str">
        <f>IF(AND(F19=1,H19=5),$H$27,IF(AND(F19=1,H19=10),$J$27,IF(AND(F19=1,H19=20),$K$27," ")))</f>
        <v xml:space="preserve"> </v>
      </c>
      <c r="Y19" s="28" t="str">
        <f>IF(AND(F19=2,H19=5),$H$28,IF(AND(F19=2,H19=10),$J$28,IF(AND(F19=2,H19=20),$K$28," ")))</f>
        <v xml:space="preserve"> </v>
      </c>
      <c r="Z19" s="28" t="str">
        <f>IF(AND(F19=3,H19=5),$H$29,IF(AND(F19=3,H19=10),$J$29,IF(AND(F19=3,H19=20),$K$29," ")))</f>
        <v xml:space="preserve"> </v>
      </c>
      <c r="AA19" s="28" t="str">
        <f>IF(AND(F19=4,H19=5),$H$30,IF(AND(F19=4,H19=10),$J$30,IF(AND(F19=4,H19=20),$K$30," ")))</f>
        <v>A</v>
      </c>
      <c r="AB19" s="28" t="str">
        <f>IF(AND(F19=5,H19=5),$H$31,IF(AND(F19=5,H19=10),$J$31,IF(AND(F19=5,H19=20),$K$31," ")))</f>
        <v xml:space="preserve"> </v>
      </c>
      <c r="AE19" s="28" t="str">
        <f>IF(AND(L19&gt;0,'[21]Evalaucion Riesgo R2'!$F$11&gt;75,F19=1,H19=5),$H$27,IF(AND(L19&gt;0,'[21]Evalaucion Riesgo R2'!$F$11&gt;75,F19=1,H19=10),$J$27,IF(AND(L19&gt;0,'[21]Evalaucion Riesgo R2'!$F$11&gt;75,F19=1,H19=20),$K$27," ")))</f>
        <v xml:space="preserve"> </v>
      </c>
      <c r="AF19" s="28" t="str">
        <f>IF(AND(L19&gt;0,'[21]Evalaucion Riesgo R2'!$F$11&gt;75,F19=2,H19=5),$H$27,IF(AND(L19&gt;0,'[21]Evalaucion Riesgo R2'!$F$11&gt;75,F19=2,H19=10),$J$27,IF(AND(L19&gt;0,'[21]Evalaucion Riesgo R2'!$F$11&gt;75,F19=2,H19=20),$K$27," ")))</f>
        <v xml:space="preserve"> </v>
      </c>
      <c r="AG19" s="28" t="str">
        <f>IF(AND(L19&gt;0,'[21]Evalaucion Riesgo R2'!$F$11&gt;75,F19=3,H19=5),$H$27,IF(AND(L19&gt;0,'[21]Evalaucion Riesgo R2'!$F$11&gt;75,F19=3,H19=10),$J$27,IF(AND(L19&gt;0,'[21]Evalaucion Riesgo R2'!$F$11&gt;75,F19=3,H19=20),$K$27," ")))</f>
        <v xml:space="preserve"> </v>
      </c>
      <c r="AH19" s="28" t="str">
        <f>IF(AND(L19&gt;0,'[21]Evalaucion Riesgo R2'!$F$11&gt;75,F19=4,H19=5),$H$28,IF(AND(L19&gt;0,'[21]Evalaucion Riesgo R2'!$F$11&gt;75,F19=4,H19=10),$J$28,IF(AND(L19&gt;0,'[21]Evalaucion Riesgo R2'!$F$11&gt;75,F19=4,H19=20),$K$28," ")))</f>
        <v xml:space="preserve"> </v>
      </c>
      <c r="AI19" s="28" t="str">
        <f>IF(AND(L19&gt;0,'[21]Evalaucion Riesgo R2'!$F$11&gt;75,F19=5,H19=5),$H$29,IF(AND(L19&gt;0,'[21]Evalaucion Riesgo R2'!$F$11&gt;75,F19=5,H19=10),$J$29,IF(AND(L19&gt;0,'[21]Evalaucion Riesgo R2'!$F$11&gt;75,F19=5,H19=20),$K$29," ")))</f>
        <v xml:space="preserve"> </v>
      </c>
      <c r="AK19" s="28" t="str">
        <f>IF(AND(L19&gt;0,'[21]Evalaucion Riesgo R2'!$F$11&gt;50,'[21]Evalaucion Riesgo R2'!$F$11&lt;76,F19=1,H19=5),$H$27,IF(AND(L19&gt;0,'[21]Evalaucion Riesgo R2'!$F$11&gt;50,'[21]Evalaucion Riesgo R2'!$F$11&lt;76,F19=1,H19=10),$J$27,IF(AND(L19&gt;0,'[21]Evalaucion Riesgo R2'!$F$11&gt;50,'[21]Evalaucion Riesgo R2'!$F$11&lt;76,F19=1,H19=20),$K$27," ")))</f>
        <v xml:space="preserve"> </v>
      </c>
      <c r="AL19" s="28" t="str">
        <f>IF(AND(L19&gt;0,'[21]Evalaucion Riesgo R2'!$F$11&gt;50,'[21]Evalaucion Riesgo R2'!$F$11&lt;76,F19=2,H19=5),$H$27,IF(AND(L19&gt;0,'[21]Evalaucion Riesgo R2'!$F$11&gt;50,'[21]Evalaucion Riesgo R2'!$F$11&lt;76,F19=2,H19=10),$J$27,IF(AND(L19&gt;0,'[21]Evalaucion Riesgo R2'!$F$11&gt;50,'[21]Evalaucion Riesgo R2'!$F$11&lt;76,F19=2,H19=20),$K$27," ")))</f>
        <v xml:space="preserve"> </v>
      </c>
      <c r="AM19" s="28" t="str">
        <f>IF(AND(L19&gt;0,'[21]Evalaucion Riesgo R2'!$F$11&gt;50,'[21]Evalaucion Riesgo R2'!$F$11&lt;76,F19=3,H19=5),$H$28,IF(AND(L19&gt;0,'[21]Evalaucion Riesgo R2'!$F$11&gt;50,'[21]Evalaucion Riesgo R2'!$F$11&lt;76,F19=3,H19=10),$J$28,IF(AND(L19&gt;0,'[21]Evalaucion Riesgo R2'!$F$11&gt;50,'[21]Evalaucion Riesgo R2'!$F$11&lt;76,F19=3,H19=20),$K$28," ")))</f>
        <v xml:space="preserve"> </v>
      </c>
      <c r="AN19" s="28" t="str">
        <f>IF(AND(L19&gt;0,'[21]Evalaucion Riesgo R2'!$F$11&gt;50,'[21]Evalaucion Riesgo R2'!$F$11&lt;76,F19=4,H19=5),$H$29,IF(AND(L19&gt;0,'[21]Evalaucion Riesgo R2'!$F$11&gt;50,'[21]Evalaucion Riesgo R2'!$F$11&lt;76,F19=4,H19=10),$J$29,IF(AND(L19&gt;0,'[21]Evalaucion Riesgo R2'!$F$11&gt;50,'[21]Evalaucion Riesgo R2'!$F$11&lt;76,F19=4,H19=20),$K$29," ")))</f>
        <v xml:space="preserve"> </v>
      </c>
      <c r="AO19" s="28" t="str">
        <f>IF(AND(L19&gt;0,'[21]Evalaucion Riesgo R2'!$F$11&gt;50,'[21]Evalaucion Riesgo R2'!$F$11&lt;76,F19=5,H19=5),$H$30,IF(AND(L19&gt;0,'[21]Evalaucion Riesgo R2'!$F$11&gt;50,'[21]Evalaucion Riesgo R2'!$F$11&lt;76,F19=5,H19=10),$J$30,IF(AND(L19&gt;0,'[21]Evalaucion Riesgo R2'!$F$11&gt;50,'[21]Evalaucion Riesgo R2'!$F$11&lt;76,F19=5,H19=20),$K$30," ")))</f>
        <v xml:space="preserve"> </v>
      </c>
      <c r="AR19" s="28" t="str">
        <f>IF(AND(L19&gt;0,'[21]Evalaucion Riesgo R2'!$F$11&lt;51,F19=1,H19=5),$H$27,IF(AND(L19&gt;0,'[21]Evalaucion Riesgo R2'!$F$11&lt;51,F19=1,H19=10),$J$27,IF(AND(L19&gt;0,'[21]Evalaucion Riesgo R2'!$F$11&lt;51,F19=1,H19=20),K$27," ")))</f>
        <v xml:space="preserve"> </v>
      </c>
      <c r="AS19" s="28" t="str">
        <f>IF(AND(L19&gt;0,'[21]Evalaucion Riesgo R2'!$F$11&lt;51,F19=2,H19=5),$H$28,IF(AND(L19&gt;0,'[21]Evalaucion Riesgo R2'!$F$11&lt;51,F19=2,H19=10),$J$28,IF(AND(L19&gt;0,'[21]Evalaucion Riesgo R2'!$F$11&lt;51,F19=2,H19=20),K$28," ")))</f>
        <v xml:space="preserve"> </v>
      </c>
      <c r="AT19" s="28" t="str">
        <f>IF(AND(L19&gt;0,'[21]Evalaucion Riesgo R2'!$F$11&lt;51,F19=3,H19=5),$H$29,IF(AND(L19&gt;0,'[21]Evalaucion Riesgo R2'!$F$11&lt;51,F19=3,H19=10),$J$29,IF(AND(L19&gt;0,'[21]Evalaucion Riesgo R2'!$F$11&lt;51,F19=3,H19=20),K$29," ")))</f>
        <v xml:space="preserve"> </v>
      </c>
      <c r="AU19" s="28" t="str">
        <f>IF(AND(L19&gt;0,'[21]Evalaucion Riesgo R2'!$F$11&lt;51,F19=4,H19=5),$H$30,IF(AND(L19&gt;0,'[21]Evalaucion Riesgo R2'!$F$11&lt;51,F19=4,H19=10),$J$30,IF(AND(L19&gt;0,'[21]Evalaucion Riesgo R2'!$F$11&lt;51,F19=4,H19=20),K$30," ")))</f>
        <v>A</v>
      </c>
      <c r="AV19" s="28" t="str">
        <f>IF(AND(L19&gt;0,'[21]Evalaucion Riesgo R2'!$F$11&lt;51,F19=5,H19=5),$H$31,IF(AND(L19&gt;0,'[21]Evalaucion Riesgo R2'!$F$11&lt;51,F19=5,H19=10),$J$31,IF(AND(L19&gt;0,'[21]Evalaucion Riesgo R2'!$F$11&lt;51,F19=5,H19=20),K$31," ")))</f>
        <v xml:space="preserve"> </v>
      </c>
      <c r="AZ19" s="28" t="str">
        <f>IF(AND(M19&gt;0,'[21]Evalaucion Riesgo R2'!$F$11&gt;75,F19=1,H19=5),$H$27,IF(AND(M19&gt;0,'[21]Evalaucion Riesgo R2'!$F$11&gt;75,F19=1,H19=10),$H$27,IF(AND(M19&gt;0,'[21]Evalaucion Riesgo R2'!$F$11&gt;75,F19=1,H19=20),$H$27," ")))</f>
        <v xml:space="preserve"> </v>
      </c>
      <c r="BA19" s="28" t="str">
        <f>IF(AND(M19&gt;0,'[21]Evalaucion Riesgo R2'!$F$11&gt;75,F19=2,H19=5),$H$28,IF(AND(M19&gt;0,'[21]Evalaucion Riesgo R2'!$F$11&gt;75,F19=2,H19=10),$H$28,IF(AND(M19&gt;0,'[21]Evalaucion Riesgo R2'!$F$11&gt;75,F19=2,H19=20),$H$28," ")))</f>
        <v xml:space="preserve"> </v>
      </c>
      <c r="BB19" s="28" t="str">
        <f>IF(AND(M19&gt;0,'[21]Evalaucion Riesgo R2'!$F$11&gt;75,F19=3,H19=5),$H$29,IF(AND(M19&gt;0,'[21]Evalaucion Riesgo R2'!$F$11&gt;75,F19=3,H19=10),$H$29,IF(AND(M19&gt;0,'[21]Evalaucion Riesgo R2'!$F$11&gt;75,F19=3,H19=20),$H$29," ")))</f>
        <v xml:space="preserve"> </v>
      </c>
      <c r="BC19" s="28" t="str">
        <f>IF(AND(M19&gt;0,'[21]Evalaucion Riesgo R2'!$F$11&gt;75,F19=4,H19=5),$H$30,IF(AND(M19&gt;0,'[21]Evalaucion Riesgo R2'!$F$11&gt;75,F19=4,H19=10),$H$30,IF(AND(M19&gt;0,'[21]Evalaucion Riesgo R2'!$F$11&gt;75,F19=4,H19=20),$H$30," ")))</f>
        <v xml:space="preserve"> </v>
      </c>
      <c r="BD19" s="28" t="str">
        <f>IF(AND(M19&gt;0,'[21]Evalaucion Riesgo R2'!$F$11&gt;75,F19=5,H19=5),$H$31,IF(AND(M19&gt;0,'[21]Evalaucion Riesgo R2'!$F$11&gt;75,F19=5,H19=10),$H$31,IF(AND(M19&gt;0,'[21]Evalaucion Riesgo R2'!$F$11&gt;75,F19=5,H19=20),$H$31," ")))</f>
        <v xml:space="preserve"> </v>
      </c>
      <c r="BG19" s="28" t="str">
        <f>IF(AND(M19&gt;0,'[21]Evalaucion Riesgo R2'!$F$11&gt;50,'[21]Evalaucion Riesgo R2'!$F$11&lt;76,F19=1,H19=5),$H$27,IF(AND(M19&gt;0,'[21]Evalaucion Riesgo R2'!$F$11&gt;50,'[21]Evalaucion Riesgo R2'!$F$11&lt;76,F19=1,H19=10),$H$27,IF(AND(M19&gt;0,'[21]Evalaucion Riesgo R2'!$F$11&gt;50,'[21]Evalaucion Riesgo R2'!$F$11&lt;76,F19=1,H19=20),$J$27," ")))</f>
        <v xml:space="preserve"> </v>
      </c>
      <c r="BH19" s="28" t="str">
        <f>IF(AND(M19&gt;0,'[21]Evalaucion Riesgo R2'!$F$11&gt;50,'[21]Evalaucion Riesgo R2'!$F$11&lt;76,F19=2,H19=5),$H$28,IF(AND(M19&gt;0,'[21]Evalaucion Riesgo R2'!$F$11&gt;50,'[21]Evalaucion Riesgo R2'!$F$11&lt;76,F19=2,H19=10),$H$28,IF(AND(M19&gt;0,'[21]Evalaucion Riesgo R2'!$F$11&gt;50,'[21]Evalaucion Riesgo R2'!$F$11&lt;76,F19=2,H19=20),$J$28," ")))</f>
        <v xml:space="preserve"> </v>
      </c>
      <c r="BI19" s="28" t="str">
        <f>IF(AND(M19&gt;0,'[21]Evalaucion Riesgo R2'!$F$11&gt;50,'[21]Evalaucion Riesgo R2'!$F$11&lt;76,F19=3,H19=5),$H$29,IF(AND(M19&gt;0,'[21]Evalaucion Riesgo R2'!$F$11&gt;50,'[21]Evalaucion Riesgo R2'!$F$11&lt;76,F19=3,H19=10),$H$29,IF(AND(M19&gt;0,'[21]Evalaucion Riesgo R2'!$F$11&gt;50,'[21]Evalaucion Riesgo R2'!$F$11&lt;76,F19=3,H19=20),$J$29," ")))</f>
        <v xml:space="preserve"> </v>
      </c>
      <c r="BJ19" s="28" t="str">
        <f>IF(AND(M19&gt;0,'[21]Evalaucion Riesgo R2'!$F$11&gt;50,'[21]Evalaucion Riesgo R2'!$F$11&lt;76,F19=4,H19=5),$H$30,IF(AND(M19&gt;0,'[21]Evalaucion Riesgo R2'!$F$11&gt;50,'[21]Evalaucion Riesgo R2'!$F$11&lt;76,F19=4,H19=10),$H$30,IF(AND(M19&gt;0,'[21]Evalaucion Riesgo R2'!$F$11&gt;50,'[21]Evalaucion Riesgo R2'!$F$11&lt;76,F19=4,H19=20),$J$30," ")))</f>
        <v xml:space="preserve"> </v>
      </c>
      <c r="BK19" s="28" t="str">
        <f>IF(AND(M19&gt;0,'[21]Evalaucion Riesgo R2'!$F$11&gt;50,'[21]Evalaucion Riesgo R2'!$F$11&lt;76,F19=5,H19=5),$H$31,IF(AND(M19&gt;0,'[21]Evalaucion Riesgo R2'!$F$11&gt;50,'[21]Evalaucion Riesgo R2'!$F$11&lt;76,F19=5,H19=10),$H$31,IF(AND(M19&gt;0,'[21]Evalaucion Riesgo R2'!$F$11&gt;50,'[21]Evalaucion Riesgo R2'!$F$11&lt;76,F19=5,H19=20),$J$31," ")))</f>
        <v xml:space="preserve"> </v>
      </c>
      <c r="BN19" s="28" t="str">
        <f>IF(AND(M19&gt;0,'[21]Evalaucion Riesgo R2'!$F$11&lt;51,F19=1,H19=5),$H$27,IF(AND(M19&gt;0,'[21]Evalaucion Riesgo R2'!$F$11&lt;51,F19=1,H19=10),$J$27,IF(AND(M19&gt;0,'[21]Evalaucion Riesgo R2'!$F$11&lt;51,F19=1,H19=20),$K$27," ")))</f>
        <v xml:space="preserve"> </v>
      </c>
      <c r="BO19" s="28" t="str">
        <f>IF(AND(M19&gt;0,'[21]Evalaucion Riesgo R2'!$F$11&lt;51,F19=2,H19=5),$H$28,IF(AND(M19&gt;0,'[21]Evalaucion Riesgo R2'!$F$11&lt;51,F19=2,H19=10),$J$28,IF(AND(M19&gt;0,'[21]Evalaucion Riesgo R2'!$F$11&lt;51,F19=2,H19=20),$K$28," ")))</f>
        <v xml:space="preserve"> </v>
      </c>
      <c r="BP19" s="28" t="str">
        <f>IF(AND(M19&gt;0,'[21]Evalaucion Riesgo R2'!$F$11&lt;51,F19=3,H19=5),$H$29,IF(AND(M19&gt;0,'[21]Evalaucion Riesgo R2'!$F$11&lt;51,F19=3,H19=10),$J$29,IF(AND(M19&gt;0,'[21]Evalaucion Riesgo R2'!$F$11&lt;51,F19=3,H19=20),$K$29," ")))</f>
        <v xml:space="preserve"> </v>
      </c>
      <c r="BQ19" s="28" t="str">
        <f>IF(AND(M19&gt;0,'[21]Evalaucion Riesgo R2'!$F$11&lt;51,F19=4,H19=5),$H$30,IF(AND(M19&gt;0,'[21]Evalaucion Riesgo R2'!$F$11&lt;51,F19=4,H19=10),$J$30,IF(AND(M19&gt;0,'[21]Evalaucion Riesgo R2'!$F$11&lt;51,F19=4,H19=20),$K$30," ")))</f>
        <v xml:space="preserve"> </v>
      </c>
      <c r="BR19" s="28" t="str">
        <f>IF(AND(M19&gt;0,'[21]Evalaucion Riesgo R2'!$F$11&lt;51,F19=5,H19=5),$H$31,IF(AND(M19&gt;0,'[21]Evalaucion Riesgo R2'!$F$11&lt;51,F19=5,H19=10),$J$31,IF(AND(M19&gt;0,'[21]Evalaucion Riesgo R2'!$F$11&lt;51,F19=5,H19=20),$K$31," ")))</f>
        <v xml:space="preserve"> </v>
      </c>
    </row>
    <row r="20" spans="1:70" ht="409.6" customHeight="1" x14ac:dyDescent="0.35">
      <c r="A20" s="711" t="str">
        <f>IF(ISTEXT([23]IdentificaciónRiesgos!$B9),[23]IdentificaciónRiesgos!$A9,"")</f>
        <v xml:space="preserve">1. Falta de estrategias para comunicar el desarrollo y resultados de actividades.        
3. Insuficiente recursos para adelantar las necesidades de capacitación y bienestar.      
4. Falta de participación y asistencia a las diferentes actividades establecidas en los planes y programas. </v>
      </c>
      <c r="B20" s="709" t="str">
        <f>IF(ISTEXT([23]IdentificaciónRiesgos!$B9),[23]IdentificaciónRiesgos!$B9,"")</f>
        <v>Incumplimiento en la ejecución de los planes y programas de ley para la gestión del Talento Humano.</v>
      </c>
      <c r="C20" s="709" t="str">
        <f>IF(ISTEXT([23]IdentificaciónRiesgos!$B9),[23]IdentificaciónRiesgos!$C9,"")</f>
        <v>Se puede llegar a presentar Incumplimiento de los planes institucionales de bienestar e incentivos, capacitación y/o sistema de seguridad y salud en el trabajo, dirigidos a los servidores públicos de la entidad.</v>
      </c>
      <c r="D20" s="709" t="str">
        <f>IF(ISTEXT([23]IdentificaciónRiesgos!$B9),[23]IdentificaciónRiesgos!$D9,"")</f>
        <v xml:space="preserve">1. Afecta calidad del servicio.   
2. Investigaciones disciplinarias  </v>
      </c>
      <c r="E20" s="709" t="str">
        <f>IF(ISTEXT([23]IdentificaciónRiesgos!$B9),VLOOKUP($C20,[23]DefiniciónRiesgos!$A$4:$F$9,6,FALSE),"")</f>
        <v>RIESGO DE GESTIÓN</v>
      </c>
      <c r="F20" s="710">
        <f>IF(ISTEXT([23]IdentificaciónRiesgos!$B9),IF(EXACT([23]AnálisisRiesgos!$B12,"X"),5,IF(EXACT([23]AnálisisRiesgos!$C12,"X"),4,IF(EXACT([23]AnálisisRiesgos!$D12,"X"),3,IF(EXACT([23]AnálisisRiesgos!$E12,"X"),2,IF(EXACT([23]AnálisisRiesgos!$F12,"X"),1,""))))),"")</f>
        <v>1</v>
      </c>
      <c r="G20" s="710" t="str">
        <f t="shared" si="0"/>
        <v>Rara Vez</v>
      </c>
      <c r="H20" s="710">
        <f>IF(EXACT($B20,""),"",IF(EXACT($E20,"RIESGO DE GESTIÓN"),IF(EXACT([23]AnálisisRiesgos!$G12,"X"),5,IF(EXACT([23]AnálisisRiesgos!$H12,"X"),4,IF(EXACT([23]AnálisisRiesgos!$I12,"X"),3,IF(EXACT([23]AnálisisRiesgos!$J12,"X"),2,1)))),IF(EXACT([23]AnálisisRiesgos!$L12,"X"),20,IF(EXACT([23]AnálisisRiesgos!$M12,"X"),10,5))))</f>
        <v>3</v>
      </c>
      <c r="I20" s="710" t="str">
        <f t="shared" si="1"/>
        <v>Moderado</v>
      </c>
      <c r="J20" s="689" t="s">
        <v>49</v>
      </c>
      <c r="K20" s="713" t="s">
        <v>423</v>
      </c>
      <c r="L20" s="1101" t="s">
        <v>26</v>
      </c>
      <c r="M20" s="1102"/>
      <c r="N20" s="710" t="s">
        <v>49</v>
      </c>
      <c r="O20" s="712" t="s">
        <v>118</v>
      </c>
      <c r="P20" s="712" t="s">
        <v>424</v>
      </c>
      <c r="Q20" s="732" t="s">
        <v>425</v>
      </c>
      <c r="R20" s="733" t="s">
        <v>426</v>
      </c>
      <c r="S20" s="734">
        <v>42947</v>
      </c>
      <c r="T20" s="735" t="s">
        <v>427</v>
      </c>
      <c r="U20" s="736" t="s">
        <v>116</v>
      </c>
      <c r="V20" s="737" t="s">
        <v>428</v>
      </c>
    </row>
    <row r="21" spans="1:70" ht="288" customHeight="1" x14ac:dyDescent="0.35">
      <c r="A21" s="711" t="str">
        <f>IF(ISTEXT([23]IdentificaciónRiesgos!$B10),[23]IdentificaciónRiesgos!$A10,"")</f>
        <v xml:space="preserve"> 1. Poco conocimiento en el área de desempeño, poca destreza y habilidades pasa desempeñar funciones.
2. No fijación de compromisos laborales 
3.Favorecimiento de intereses particulares.
 4. No solicitar la evaluación por parte del evaluado dentro de los términos
</v>
      </c>
      <c r="B21" s="709" t="str">
        <f>IF(ISTEXT([23]IdentificaciónRiesgos!$B10),[23]IdentificaciónRiesgos!$B10,"")</f>
        <v xml:space="preserve">No realizar la evaluación de desempeño laboral dentro de los plazos establecidos por la ley </v>
      </c>
      <c r="C21" s="709" t="str">
        <f>IF(ISTEXT([23]IdentificaciónRiesgos!$B10),[23]IdentificaciónRiesgos!$C10,"")</f>
        <v xml:space="preserve">Se puede llegar a presentar la eventualidad de que el  jefe inmediato y el funcionario no generen el proceso de evaluación dentro de las fechas establecidas.
</v>
      </c>
      <c r="D21" s="709" t="str">
        <f>IF(ISTEXT([23]IdentificaciónRiesgos!$B10),[23]IdentificaciónRiesgos!$D10,"")</f>
        <v xml:space="preserve"> 1. Falta disciplinaria 
2. Sanciones </v>
      </c>
      <c r="E21" s="709" t="str">
        <f>IF(ISTEXT([23]IdentificaciónRiesgos!$B10),VLOOKUP($C21,[23]DefiniciónRiesgos!$A$4:$F$9,6,FALSE),"")</f>
        <v>RIESGO DE GESTIÓN</v>
      </c>
      <c r="F21" s="710">
        <f>IF(ISTEXT([23]IdentificaciónRiesgos!$B10),IF(EXACT([23]AnálisisRiesgos!$B13,"X"),5,IF(EXACT([23]AnálisisRiesgos!$C13,"X"),4,IF(EXACT([23]AnálisisRiesgos!$D13,"X"),3,IF(EXACT([23]AnálisisRiesgos!$E13,"X"),2,IF(EXACT([23]AnálisisRiesgos!$F13,"X"),1,""))))),"")</f>
        <v>3</v>
      </c>
      <c r="G21" s="710" t="str">
        <f t="shared" si="0"/>
        <v>Posible</v>
      </c>
      <c r="H21" s="710">
        <f>IF(EXACT($B21,""),"",IF(EXACT($E21,"RIESGO DE GESTIÓN"),IF(EXACT([23]AnálisisRiesgos!$G13,"X"),5,IF(EXACT([23]AnálisisRiesgos!$H13,"X"),4,IF(EXACT([23]AnálisisRiesgos!$I13,"X"),3,IF(EXACT([23]AnálisisRiesgos!$J13,"X"),2,1)))),IF(EXACT([23]AnálisisRiesgos!$L13,"X"),20,IF(EXACT([23]AnálisisRiesgos!$M13,"X"),10,5))))</f>
        <v>3</v>
      </c>
      <c r="I21" s="710" t="str">
        <f t="shared" si="1"/>
        <v>Moderado</v>
      </c>
      <c r="J21" s="707" t="s">
        <v>51</v>
      </c>
      <c r="K21" s="713" t="s">
        <v>429</v>
      </c>
      <c r="L21" s="1101" t="s">
        <v>26</v>
      </c>
      <c r="M21" s="1102"/>
      <c r="N21" s="107" t="s">
        <v>51</v>
      </c>
      <c r="O21" s="712" t="s">
        <v>118</v>
      </c>
      <c r="P21" s="712" t="s">
        <v>424</v>
      </c>
      <c r="Q21" s="703" t="s">
        <v>430</v>
      </c>
      <c r="R21" s="712" t="s">
        <v>431</v>
      </c>
      <c r="S21" s="714">
        <v>42947</v>
      </c>
      <c r="T21" s="715" t="s">
        <v>432</v>
      </c>
      <c r="U21" s="716" t="s">
        <v>433</v>
      </c>
      <c r="V21" s="720" t="s">
        <v>434</v>
      </c>
      <c r="W21" s="409"/>
    </row>
    <row r="22" spans="1:70" ht="165" customHeight="1" x14ac:dyDescent="0.35">
      <c r="A22" s="721" t="str">
        <f>IF(ISTEXT([23]IdentificaciónRiesgos!$B11),[23]IdentificaciónRiesgos!$A11,"")</f>
        <v>1. No evaluar dentro de las fechas y términos establecidos.
2.  Incumplir los lineamientos, términos y
condiciones establecidos en la normatividad vigente sobre la materia.</v>
      </c>
      <c r="B22" s="709" t="str">
        <f>IF(ISTEXT([23]IdentificaciónRiesgos!$B11),[23]IdentificaciónRiesgos!$B11,"")</f>
        <v>Incumplimiento de la evaluación de los acuerdos  gestión</v>
      </c>
      <c r="C22" s="709" t="str">
        <f>IF(ISTEXT([23]IdentificaciónRiesgos!$B11),[23]IdentificaciónRiesgos!$C11,"")</f>
        <v>El proceso de los Acuerdos de Gestión no cumpla con los lineamientos, términos y
condiciones establecidos en la normatividad vigente sobre la materia y el procedimiento
establecido por la entidad para tal fin.</v>
      </c>
      <c r="D22" s="709" t="str">
        <f>IF(ISTEXT([23]IdentificaciónRiesgos!$B11),[23]IdentificaciónRiesgos!$D11,"")</f>
        <v xml:space="preserve"> 1. Falta disciplinaria 
2. Sanciones </v>
      </c>
      <c r="E22" s="709" t="str">
        <f>IF(ISTEXT([23]IdentificaciónRiesgos!$B11),VLOOKUP($C22,[23]DefiniciónRiesgos!$A$4:$F$9,6,FALSE),"")</f>
        <v>RIESGO DE GESTIÓN</v>
      </c>
      <c r="F22" s="710">
        <f>IF(ISTEXT([23]IdentificaciónRiesgos!$B11),IF(EXACT([23]AnálisisRiesgos!$B14,"X"),5,IF(EXACT([23]AnálisisRiesgos!$C14,"X"),4,IF(EXACT([23]AnálisisRiesgos!$D14,"X"),3,IF(EXACT([23]AnálisisRiesgos!$E14,"X"),2,IF(EXACT([23]AnálisisRiesgos!$F14,"X"),1,""))))),"")</f>
        <v>3</v>
      </c>
      <c r="G22" s="710" t="str">
        <f t="shared" si="0"/>
        <v>Posible</v>
      </c>
      <c r="H22" s="710">
        <f>IF(EXACT($B22,""),"",IF(EXACT($E22,"RIESGO DE GESTIÓN"),IF(EXACT([23]AnálisisRiesgos!$G14,"X"),5,IF(EXACT([23]AnálisisRiesgos!$H14,"X"),4,IF(EXACT([23]AnálisisRiesgos!$I14,"X"),3,IF(EXACT([23]AnálisisRiesgos!$J14,"X"),2,1)))),IF(EXACT([23]AnálisisRiesgos!$L14,"X"),20,IF(EXACT([23]AnálisisRiesgos!$M14,"X"),10,5))))</f>
        <v>3</v>
      </c>
      <c r="I22" s="710" t="str">
        <f t="shared" si="1"/>
        <v>Moderado</v>
      </c>
      <c r="J22" s="707" t="s">
        <v>51</v>
      </c>
      <c r="K22" s="713" t="s">
        <v>435</v>
      </c>
      <c r="L22" s="741" t="s">
        <v>26</v>
      </c>
      <c r="M22" s="409"/>
      <c r="N22" s="710" t="s">
        <v>51</v>
      </c>
      <c r="O22" s="712" t="s">
        <v>118</v>
      </c>
      <c r="P22" s="712" t="s">
        <v>424</v>
      </c>
      <c r="Q22" s="713" t="s">
        <v>436</v>
      </c>
      <c r="R22" s="712" t="s">
        <v>437</v>
      </c>
      <c r="S22" s="719">
        <v>42947</v>
      </c>
      <c r="T22" s="715" t="s">
        <v>438</v>
      </c>
      <c r="U22" s="716" t="s">
        <v>433</v>
      </c>
      <c r="V22" s="717" t="s">
        <v>439</v>
      </c>
      <c r="W22" s="409"/>
    </row>
    <row r="23" spans="1:70" s="409" customFormat="1" ht="272.25" customHeight="1" x14ac:dyDescent="0.35">
      <c r="A23" s="722" t="s">
        <v>440</v>
      </c>
      <c r="B23" s="723" t="s">
        <v>441</v>
      </c>
      <c r="C23" s="723" t="s">
        <v>442</v>
      </c>
      <c r="D23" s="723" t="s">
        <v>443</v>
      </c>
      <c r="E23" s="723" t="s">
        <v>119</v>
      </c>
      <c r="F23" s="725">
        <v>4</v>
      </c>
      <c r="G23" s="725" t="s">
        <v>114</v>
      </c>
      <c r="H23" s="725">
        <v>10</v>
      </c>
      <c r="I23" s="726" t="s">
        <v>108</v>
      </c>
      <c r="J23" s="727" t="s">
        <v>51</v>
      </c>
      <c r="K23" s="742" t="s">
        <v>444</v>
      </c>
      <c r="L23" s="741" t="s">
        <v>10</v>
      </c>
      <c r="N23" s="710" t="s">
        <v>51</v>
      </c>
      <c r="O23" s="712" t="s">
        <v>118</v>
      </c>
      <c r="P23" s="724" t="s">
        <v>120</v>
      </c>
      <c r="Q23" s="729" t="s">
        <v>445</v>
      </c>
      <c r="R23" s="730" t="s">
        <v>446</v>
      </c>
      <c r="S23" s="719">
        <v>42947</v>
      </c>
      <c r="T23" s="728" t="s">
        <v>447</v>
      </c>
      <c r="U23" s="716" t="s">
        <v>433</v>
      </c>
      <c r="V23" s="731" t="s">
        <v>448</v>
      </c>
    </row>
    <row r="24" spans="1:70" s="704" customFormat="1" ht="143.25" customHeight="1" thickBot="1" x14ac:dyDescent="0.4">
      <c r="B24" s="705"/>
      <c r="C24" s="705"/>
      <c r="D24" s="705"/>
      <c r="E24" s="705"/>
      <c r="F24" s="738"/>
      <c r="G24" s="738"/>
      <c r="H24" s="739"/>
      <c r="I24" s="739"/>
      <c r="J24" s="739"/>
      <c r="L24" s="738"/>
      <c r="S24" s="738"/>
    </row>
    <row r="25" spans="1:70" s="409" customFormat="1" ht="163.5" customHeight="1" x14ac:dyDescent="0.35">
      <c r="B25" s="410"/>
      <c r="C25" s="410"/>
      <c r="D25" s="410"/>
      <c r="E25" s="410"/>
      <c r="F25" s="1019" t="s">
        <v>26</v>
      </c>
      <c r="G25" s="740"/>
      <c r="H25" s="1100" t="s">
        <v>10</v>
      </c>
      <c r="I25" s="1100"/>
      <c r="J25" s="1100"/>
      <c r="K25" s="1100"/>
      <c r="Q25" s="609"/>
    </row>
    <row r="26" spans="1:70" ht="138" customHeight="1" thickBot="1" x14ac:dyDescent="0.4">
      <c r="A26" s="5"/>
      <c r="B26" s="34" t="s">
        <v>42</v>
      </c>
      <c r="C26" s="34"/>
      <c r="D26" s="34"/>
      <c r="E26" s="34"/>
      <c r="F26" s="1020"/>
      <c r="G26" s="72"/>
      <c r="H26" s="35" t="s">
        <v>43</v>
      </c>
      <c r="I26" s="35"/>
      <c r="J26" s="36" t="s">
        <v>44</v>
      </c>
      <c r="K26" s="35" t="s">
        <v>45</v>
      </c>
      <c r="L26" s="2"/>
      <c r="Q26" s="5"/>
      <c r="S26" s="2"/>
    </row>
    <row r="27" spans="1:70" ht="14.5" thickBot="1" x14ac:dyDescent="0.4">
      <c r="B27" s="5" t="s">
        <v>46</v>
      </c>
      <c r="C27" s="5"/>
      <c r="F27" s="37" t="s">
        <v>47</v>
      </c>
      <c r="G27" s="37"/>
      <c r="H27" s="38" t="s">
        <v>48</v>
      </c>
      <c r="I27" s="38"/>
      <c r="J27" s="38" t="s">
        <v>48</v>
      </c>
      <c r="K27" s="39" t="s">
        <v>49</v>
      </c>
      <c r="L27" s="2"/>
      <c r="Q27" s="5"/>
      <c r="S27" s="2"/>
    </row>
    <row r="28" spans="1:70" ht="14.5" thickBot="1" x14ac:dyDescent="0.4">
      <c r="F28" s="37" t="s">
        <v>50</v>
      </c>
      <c r="G28" s="37"/>
      <c r="H28" s="38" t="s">
        <v>48</v>
      </c>
      <c r="I28" s="38"/>
      <c r="J28" s="39" t="s">
        <v>49</v>
      </c>
      <c r="K28" s="40" t="s">
        <v>51</v>
      </c>
      <c r="L28" s="2"/>
      <c r="Q28" s="5"/>
      <c r="S28" s="2"/>
    </row>
    <row r="29" spans="1:70" ht="14.5" thickBot="1" x14ac:dyDescent="0.4">
      <c r="F29" s="37" t="s">
        <v>52</v>
      </c>
      <c r="G29" s="37"/>
      <c r="H29" s="39" t="s">
        <v>49</v>
      </c>
      <c r="I29" s="39"/>
      <c r="J29" s="40" t="s">
        <v>51</v>
      </c>
      <c r="K29" s="41" t="s">
        <v>53</v>
      </c>
      <c r="L29" s="2"/>
      <c r="Q29" s="5"/>
      <c r="S29" s="2"/>
    </row>
    <row r="30" spans="1:70" ht="14.5" thickBot="1" x14ac:dyDescent="0.4">
      <c r="F30" s="37" t="s">
        <v>54</v>
      </c>
      <c r="G30" s="37"/>
      <c r="H30" s="39" t="s">
        <v>49</v>
      </c>
      <c r="I30" s="39"/>
      <c r="J30" s="40" t="s">
        <v>51</v>
      </c>
      <c r="K30" s="41" t="s">
        <v>53</v>
      </c>
      <c r="L30" s="2"/>
      <c r="Q30" s="5"/>
      <c r="S30" s="2"/>
    </row>
    <row r="31" spans="1:70" ht="14.5" thickBot="1" x14ac:dyDescent="0.4">
      <c r="F31" s="37" t="s">
        <v>55</v>
      </c>
      <c r="G31" s="37"/>
      <c r="H31" s="39" t="s">
        <v>49</v>
      </c>
      <c r="I31" s="39"/>
      <c r="J31" s="40" t="s">
        <v>51</v>
      </c>
      <c r="K31" s="41" t="s">
        <v>53</v>
      </c>
      <c r="L31" s="2"/>
      <c r="Q31" s="5"/>
      <c r="S31" s="2"/>
    </row>
    <row r="32" spans="1:70" x14ac:dyDescent="0.35">
      <c r="F32" s="2"/>
      <c r="G32" s="2"/>
      <c r="H32" s="2"/>
      <c r="I32" s="2"/>
      <c r="J32" s="2"/>
      <c r="K32" s="5"/>
      <c r="M32" s="5"/>
    </row>
    <row r="33" spans="6:16" x14ac:dyDescent="0.35">
      <c r="F33" s="42" t="s">
        <v>56</v>
      </c>
      <c r="G33" s="42"/>
      <c r="H33" s="2"/>
      <c r="I33" s="2"/>
      <c r="J33" s="2"/>
      <c r="K33" s="5"/>
      <c r="M33" s="5"/>
      <c r="N33" s="5"/>
      <c r="O33" s="5"/>
      <c r="P33" s="5"/>
    </row>
    <row r="34" spans="6:16" x14ac:dyDescent="0.35">
      <c r="F34" s="43" t="s">
        <v>57</v>
      </c>
      <c r="G34" s="43"/>
      <c r="H34" s="2"/>
      <c r="I34" s="2"/>
      <c r="J34" s="2"/>
      <c r="K34" s="5"/>
      <c r="M34" s="5"/>
      <c r="N34" s="5"/>
      <c r="O34" s="5"/>
      <c r="P34" s="5"/>
    </row>
    <row r="35" spans="6:16" x14ac:dyDescent="0.35">
      <c r="F35" s="44" t="s">
        <v>58</v>
      </c>
      <c r="G35" s="44"/>
      <c r="H35" s="2"/>
      <c r="I35" s="2"/>
      <c r="J35" s="2"/>
      <c r="K35" s="5"/>
      <c r="M35" s="5"/>
      <c r="N35" s="5"/>
      <c r="O35" s="5"/>
      <c r="P35" s="5"/>
    </row>
    <row r="36" spans="6:16" x14ac:dyDescent="0.35">
      <c r="F36" s="45" t="s">
        <v>59</v>
      </c>
      <c r="G36" s="45"/>
      <c r="H36" s="2"/>
      <c r="I36" s="2"/>
      <c r="J36" s="2"/>
      <c r="K36" s="5"/>
      <c r="M36" s="5"/>
      <c r="N36" s="5"/>
      <c r="O36" s="5"/>
      <c r="P36" s="5"/>
    </row>
  </sheetData>
  <mergeCells count="39">
    <mergeCell ref="T15:T16"/>
    <mergeCell ref="U15:U16"/>
    <mergeCell ref="V15:V16"/>
    <mergeCell ref="F25:F26"/>
    <mergeCell ref="H25:K25"/>
    <mergeCell ref="P15:R15"/>
    <mergeCell ref="L17:M17"/>
    <mergeCell ref="L18:M18"/>
    <mergeCell ref="L19:M19"/>
    <mergeCell ref="L20:M20"/>
    <mergeCell ref="L21:M21"/>
    <mergeCell ref="A12:D12"/>
    <mergeCell ref="F12:V12"/>
    <mergeCell ref="AG13:AY13"/>
    <mergeCell ref="BA13:BT13"/>
    <mergeCell ref="A14:D14"/>
    <mergeCell ref="F14:H14"/>
    <mergeCell ref="K14:K16"/>
    <mergeCell ref="L14:N14"/>
    <mergeCell ref="P14:R14"/>
    <mergeCell ref="S14:V14"/>
    <mergeCell ref="A15:A16"/>
    <mergeCell ref="B15:B16"/>
    <mergeCell ref="D15:D16"/>
    <mergeCell ref="F15:H15"/>
    <mergeCell ref="L15:N15"/>
    <mergeCell ref="S15:S16"/>
    <mergeCell ref="A6:D6"/>
    <mergeCell ref="F6:V6"/>
    <mergeCell ref="A8:D8"/>
    <mergeCell ref="F8:V8"/>
    <mergeCell ref="A10:D10"/>
    <mergeCell ref="F10:V10"/>
    <mergeCell ref="A1:D4"/>
    <mergeCell ref="F1:T4"/>
    <mergeCell ref="U1:V1"/>
    <mergeCell ref="U4:V4"/>
    <mergeCell ref="U2:W2"/>
    <mergeCell ref="U3:W3"/>
  </mergeCells>
  <conditionalFormatting sqref="N19">
    <cfRule type="containsText" dxfId="71" priority="33" operator="containsText" text="E">
      <formula>NOT(ISERROR(SEARCH("E",N19)))</formula>
    </cfRule>
    <cfRule type="containsText" dxfId="70" priority="34" operator="containsText" text="M">
      <formula>NOT(ISERROR(SEARCH("M",N19)))</formula>
    </cfRule>
    <cfRule type="containsText" dxfId="69" priority="35" operator="containsText" text="A">
      <formula>NOT(ISERROR(SEARCH("A",N19)))</formula>
    </cfRule>
    <cfRule type="containsText" dxfId="68" priority="36" operator="containsText" text="B">
      <formula>NOT(ISERROR(SEARCH("B",N19)))</formula>
    </cfRule>
  </conditionalFormatting>
  <conditionalFormatting sqref="N17">
    <cfRule type="containsText" dxfId="67" priority="53" operator="containsText" text="E">
      <formula>NOT(ISERROR(SEARCH("E",N17)))</formula>
    </cfRule>
    <cfRule type="containsText" dxfId="66" priority="54" operator="containsText" text="M">
      <formula>NOT(ISERROR(SEARCH("M",N17)))</formula>
    </cfRule>
    <cfRule type="containsText" dxfId="65" priority="55" operator="containsText" text="A">
      <formula>NOT(ISERROR(SEARCH("A",N17)))</formula>
    </cfRule>
    <cfRule type="containsText" dxfId="64" priority="56" operator="containsText" text="B">
      <formula>NOT(ISERROR(SEARCH("B",N17)))</formula>
    </cfRule>
  </conditionalFormatting>
  <conditionalFormatting sqref="J17">
    <cfRule type="containsText" dxfId="63" priority="49" operator="containsText" text="E">
      <formula>NOT(ISERROR(SEARCH("E",J17)))</formula>
    </cfRule>
    <cfRule type="containsText" dxfId="62" priority="50" operator="containsText" text="M">
      <formula>NOT(ISERROR(SEARCH("M",J17)))</formula>
    </cfRule>
    <cfRule type="containsText" dxfId="61" priority="51" operator="containsText" text="A">
      <formula>NOT(ISERROR(SEARCH("A",J17)))</formula>
    </cfRule>
    <cfRule type="containsText" dxfId="60" priority="52" operator="containsText" text="B">
      <formula>NOT(ISERROR(SEARCH("B",J17)))</formula>
    </cfRule>
  </conditionalFormatting>
  <conditionalFormatting sqref="J19">
    <cfRule type="containsText" dxfId="59" priority="45" operator="containsText" text="E">
      <formula>NOT(ISERROR(SEARCH("E",J19)))</formula>
    </cfRule>
    <cfRule type="containsText" dxfId="58" priority="46" operator="containsText" text="M">
      <formula>NOT(ISERROR(SEARCH("M",J19)))</formula>
    </cfRule>
    <cfRule type="containsText" dxfId="57" priority="47" operator="containsText" text="A">
      <formula>NOT(ISERROR(SEARCH("A",J19)))</formula>
    </cfRule>
    <cfRule type="containsText" dxfId="56" priority="48" operator="containsText" text="B">
      <formula>NOT(ISERROR(SEARCH("B",J19)))</formula>
    </cfRule>
  </conditionalFormatting>
  <conditionalFormatting sqref="N18">
    <cfRule type="containsText" dxfId="55" priority="41" operator="containsText" text="E">
      <formula>NOT(ISERROR(SEARCH("E",N18)))</formula>
    </cfRule>
    <cfRule type="containsText" dxfId="54" priority="42" operator="containsText" text="M">
      <formula>NOT(ISERROR(SEARCH("M",N18)))</formula>
    </cfRule>
    <cfRule type="containsText" dxfId="53" priority="43" operator="containsText" text="A">
      <formula>NOT(ISERROR(SEARCH("A",N18)))</formula>
    </cfRule>
    <cfRule type="containsText" dxfId="52" priority="44" operator="containsText" text="B">
      <formula>NOT(ISERROR(SEARCH("B",N18)))</formula>
    </cfRule>
  </conditionalFormatting>
  <conditionalFormatting sqref="J18">
    <cfRule type="containsText" dxfId="51" priority="37" operator="containsText" text="E">
      <formula>NOT(ISERROR(SEARCH("E",J18)))</formula>
    </cfRule>
    <cfRule type="containsText" dxfId="50" priority="38" operator="containsText" text="M">
      <formula>NOT(ISERROR(SEARCH("M",J18)))</formula>
    </cfRule>
    <cfRule type="containsText" dxfId="49" priority="39" operator="containsText" text="A">
      <formula>NOT(ISERROR(SEARCH("A",J18)))</formula>
    </cfRule>
    <cfRule type="containsText" dxfId="48" priority="40" operator="containsText" text="B">
      <formula>NOT(ISERROR(SEARCH("B",J18)))</formula>
    </cfRule>
  </conditionalFormatting>
  <conditionalFormatting sqref="O19">
    <cfRule type="containsText" dxfId="47" priority="29" operator="containsText" text="E">
      <formula>NOT(ISERROR(SEARCH("E",O19)))</formula>
    </cfRule>
    <cfRule type="containsText" dxfId="46" priority="30" operator="containsText" text="M">
      <formula>NOT(ISERROR(SEARCH("M",O19)))</formula>
    </cfRule>
    <cfRule type="containsText" dxfId="45" priority="31" operator="containsText" text="A">
      <formula>NOT(ISERROR(SEARCH("A",O19)))</formula>
    </cfRule>
    <cfRule type="containsText" dxfId="44" priority="32" operator="containsText" text="B">
      <formula>NOT(ISERROR(SEARCH("B",O19)))</formula>
    </cfRule>
  </conditionalFormatting>
  <conditionalFormatting sqref="J20">
    <cfRule type="containsText" dxfId="43" priority="25" operator="containsText" text="E">
      <formula>NOT(ISERROR(SEARCH("E",J20)))</formula>
    </cfRule>
    <cfRule type="containsText" dxfId="42" priority="26" operator="containsText" text="M">
      <formula>NOT(ISERROR(SEARCH("M",J20)))</formula>
    </cfRule>
    <cfRule type="containsText" dxfId="41" priority="27" operator="containsText" text="A">
      <formula>NOT(ISERROR(SEARCH("A",J20)))</formula>
    </cfRule>
    <cfRule type="containsText" dxfId="40" priority="28" operator="containsText" text="B">
      <formula>NOT(ISERROR(SEARCH("B",J20)))</formula>
    </cfRule>
  </conditionalFormatting>
  <conditionalFormatting sqref="N20">
    <cfRule type="containsText" dxfId="39" priority="21" operator="containsText" text="E">
      <formula>NOT(ISERROR(SEARCH("E",N20)))</formula>
    </cfRule>
    <cfRule type="containsText" dxfId="38" priority="22" operator="containsText" text="M">
      <formula>NOT(ISERROR(SEARCH("M",N20)))</formula>
    </cfRule>
    <cfRule type="containsText" dxfId="37" priority="23" operator="containsText" text="A">
      <formula>NOT(ISERROR(SEARCH("A",N20)))</formula>
    </cfRule>
    <cfRule type="containsText" dxfId="36" priority="24" operator="containsText" text="B">
      <formula>NOT(ISERROR(SEARCH("B",N20)))</formula>
    </cfRule>
  </conditionalFormatting>
  <conditionalFormatting sqref="J21">
    <cfRule type="containsText" dxfId="35" priority="17" operator="containsText" text="E">
      <formula>NOT(ISERROR(SEARCH("E",J21)))</formula>
    </cfRule>
    <cfRule type="containsText" dxfId="34" priority="18" operator="containsText" text="M">
      <formula>NOT(ISERROR(SEARCH("M",J21)))</formula>
    </cfRule>
    <cfRule type="containsText" dxfId="33" priority="19" operator="containsText" text="A">
      <formula>NOT(ISERROR(SEARCH("A",J21)))</formula>
    </cfRule>
    <cfRule type="containsText" dxfId="32" priority="20" operator="containsText" text="B">
      <formula>NOT(ISERROR(SEARCH("B",J21)))</formula>
    </cfRule>
  </conditionalFormatting>
  <conditionalFormatting sqref="J22">
    <cfRule type="containsText" dxfId="31" priority="13" operator="containsText" text="E">
      <formula>NOT(ISERROR(SEARCH("E",J22)))</formula>
    </cfRule>
    <cfRule type="containsText" dxfId="30" priority="14" operator="containsText" text="M">
      <formula>NOT(ISERROR(SEARCH("M",J22)))</formula>
    </cfRule>
    <cfRule type="containsText" dxfId="29" priority="15" operator="containsText" text="A">
      <formula>NOT(ISERROR(SEARCH("A",J22)))</formula>
    </cfRule>
    <cfRule type="containsText" dxfId="28" priority="16" operator="containsText" text="B">
      <formula>NOT(ISERROR(SEARCH("B",J22)))</formula>
    </cfRule>
  </conditionalFormatting>
  <conditionalFormatting sqref="N22">
    <cfRule type="containsText" dxfId="27" priority="9" operator="containsText" text="E">
      <formula>NOT(ISERROR(SEARCH("E",N22)))</formula>
    </cfRule>
    <cfRule type="containsText" dxfId="26" priority="10" operator="containsText" text="M">
      <formula>NOT(ISERROR(SEARCH("M",N22)))</formula>
    </cfRule>
    <cfRule type="containsText" dxfId="25" priority="11" operator="containsText" text="A">
      <formula>NOT(ISERROR(SEARCH("A",N22)))</formula>
    </cfRule>
    <cfRule type="containsText" dxfId="24" priority="12" operator="containsText" text="B">
      <formula>NOT(ISERROR(SEARCH("B",N22)))</formula>
    </cfRule>
  </conditionalFormatting>
  <conditionalFormatting sqref="J23">
    <cfRule type="containsText" dxfId="23" priority="5" operator="containsText" text="E">
      <formula>NOT(ISERROR(SEARCH("E",J23)))</formula>
    </cfRule>
    <cfRule type="containsText" dxfId="22" priority="6" operator="containsText" text="M">
      <formula>NOT(ISERROR(SEARCH("M",J23)))</formula>
    </cfRule>
    <cfRule type="containsText" dxfId="21" priority="7" operator="containsText" text="A">
      <formula>NOT(ISERROR(SEARCH("A",J23)))</formula>
    </cfRule>
    <cfRule type="containsText" dxfId="20" priority="8" operator="containsText" text="B">
      <formula>NOT(ISERROR(SEARCH("B",J23)))</formula>
    </cfRule>
  </conditionalFormatting>
  <conditionalFormatting sqref="N23">
    <cfRule type="containsText" dxfId="19" priority="1" operator="containsText" text="E">
      <formula>NOT(ISERROR(SEARCH("E",N23)))</formula>
    </cfRule>
    <cfRule type="containsText" dxfId="18" priority="2" operator="containsText" text="M">
      <formula>NOT(ISERROR(SEARCH("M",N23)))</formula>
    </cfRule>
    <cfRule type="containsText" dxfId="17" priority="3" operator="containsText" text="A">
      <formula>NOT(ISERROR(SEARCH("A",N23)))</formula>
    </cfRule>
    <cfRule type="containsText" dxfId="16" priority="4" operator="containsText" text="B">
      <formula>NOT(ISERROR(SEARCH("B",N23)))</formula>
    </cfRule>
  </conditionalFormatting>
  <dataValidations count="1">
    <dataValidation type="list" allowBlank="1" showInputMessage="1" showErrorMessage="1" promptTitle="AFECTA A:" prompt="Seleccione según a quien afecte el control" sqref="L17:M21 L22:L23">
      <formula1>$XFD$2:$XFD$3</formula1>
    </dataValidation>
  </dataValidations>
  <pageMargins left="0.7" right="0.7" top="0.75" bottom="0.75" header="0.3" footer="0.3"/>
  <pageSetup scale="1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4"/>
  <sheetViews>
    <sheetView showGridLines="0" view="pageBreakPreview" topLeftCell="M2" zoomScale="60" zoomScaleNormal="70" workbookViewId="0">
      <selection activeCell="S17" sqref="S17"/>
    </sheetView>
  </sheetViews>
  <sheetFormatPr baseColWidth="10" defaultColWidth="11.453125" defaultRowHeight="14" x14ac:dyDescent="0.35"/>
  <cols>
    <col min="1" max="1" width="41.26953125" style="399" customWidth="1"/>
    <col min="2" max="5" width="40.453125" style="399" customWidth="1"/>
    <col min="6" max="7" width="27" style="402" customWidth="1"/>
    <col min="8" max="9" width="19" style="402" customWidth="1"/>
    <col min="10" max="10" width="26.7265625" style="402" customWidth="1"/>
    <col min="11" max="11" width="29.7265625" style="399" customWidth="1"/>
    <col min="12" max="12" width="17.7265625" style="402" customWidth="1"/>
    <col min="13" max="13" width="18.54296875" style="399" customWidth="1"/>
    <col min="14" max="15" width="21.7265625" style="399" customWidth="1"/>
    <col min="16" max="16" width="19.81640625" style="399" customWidth="1"/>
    <col min="17" max="17" width="93.81640625" style="399" customWidth="1"/>
    <col min="18" max="18" width="32.81640625" style="399" customWidth="1"/>
    <col min="19" max="19" width="36.453125" style="402" customWidth="1"/>
    <col min="20" max="20" width="58.453125" style="399" customWidth="1"/>
    <col min="21" max="21" width="30.453125" style="399" customWidth="1"/>
    <col min="22" max="22" width="97.1796875" style="399" customWidth="1"/>
    <col min="23" max="23" width="30.453125" style="399" customWidth="1"/>
    <col min="24" max="24" width="36" style="399" hidden="1" customWidth="1"/>
    <col min="25" max="25" width="0" style="399" hidden="1" customWidth="1"/>
    <col min="26" max="72" width="11.453125" style="399" hidden="1" customWidth="1"/>
    <col min="73" max="73" width="11.453125" style="399" customWidth="1"/>
    <col min="74" max="16384" width="11.453125" style="399"/>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60" t="s">
        <v>372</v>
      </c>
      <c r="V2" s="1061"/>
      <c r="W2" s="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60" t="s">
        <v>373</v>
      </c>
      <c r="V3" s="1061"/>
      <c r="W3" s="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400"/>
      <c r="C5" s="400"/>
      <c r="D5" s="400"/>
      <c r="E5" s="400"/>
      <c r="F5" s="401"/>
      <c r="G5" s="401"/>
      <c r="H5" s="401"/>
      <c r="I5" s="401"/>
      <c r="J5" s="401"/>
      <c r="K5" s="401"/>
      <c r="L5" s="401"/>
      <c r="M5" s="401"/>
      <c r="N5" s="401"/>
      <c r="O5" s="401"/>
      <c r="P5" s="401"/>
      <c r="Q5" s="401"/>
      <c r="W5" s="6"/>
      <c r="X5" s="6"/>
    </row>
    <row r="6" spans="1:72" x14ac:dyDescent="0.35">
      <c r="A6" s="1030" t="s">
        <v>3</v>
      </c>
      <c r="B6" s="1030"/>
      <c r="C6" s="1030"/>
      <c r="D6" s="1030"/>
      <c r="E6" s="82"/>
      <c r="F6" s="1044" t="s">
        <v>632</v>
      </c>
      <c r="G6" s="1045"/>
      <c r="H6" s="1045"/>
      <c r="I6" s="1045"/>
      <c r="J6" s="1045"/>
      <c r="K6" s="1045"/>
      <c r="L6" s="1045"/>
      <c r="M6" s="1045"/>
      <c r="N6" s="1045"/>
      <c r="O6" s="1045"/>
      <c r="P6" s="1045"/>
      <c r="Q6" s="1045"/>
      <c r="R6" s="1045"/>
      <c r="S6" s="1045"/>
      <c r="T6" s="1045"/>
      <c r="U6" s="1045"/>
      <c r="V6" s="1046"/>
      <c r="W6" s="6"/>
      <c r="X6" s="6"/>
    </row>
    <row r="7" spans="1:72" ht="6.75" customHeight="1" x14ac:dyDescent="0.35">
      <c r="B7" s="400"/>
      <c r="C7" s="400"/>
      <c r="D7" s="400"/>
      <c r="E7" s="400"/>
      <c r="F7" s="405"/>
      <c r="G7" s="405"/>
      <c r="H7" s="405"/>
      <c r="I7" s="405"/>
      <c r="J7" s="405"/>
      <c r="K7" s="405"/>
      <c r="L7" s="405"/>
      <c r="M7" s="405"/>
      <c r="N7" s="405"/>
      <c r="O7" s="405"/>
      <c r="P7" s="405"/>
      <c r="Q7" s="405"/>
      <c r="R7" s="8"/>
      <c r="S7" s="8"/>
      <c r="T7" s="8"/>
      <c r="U7" s="8"/>
      <c r="V7" s="8"/>
      <c r="W7" s="6"/>
      <c r="X7" s="6"/>
    </row>
    <row r="8" spans="1:72" ht="39.75" customHeight="1" x14ac:dyDescent="0.35">
      <c r="A8" s="1030" t="s">
        <v>4</v>
      </c>
      <c r="B8" s="1030"/>
      <c r="C8" s="1030"/>
      <c r="D8" s="1030"/>
      <c r="E8" s="82"/>
      <c r="F8" s="1103" t="str">
        <f>[24]IdentificaciónRiesgos!B3</f>
        <v>Coordinar la planeación, implementación y seguimiento a la mejora del Sistema de Gestión Integrado del IDEAM, en cumplimiento de los objetivos institucionales.</v>
      </c>
      <c r="G8" s="1104"/>
      <c r="H8" s="1104"/>
      <c r="I8" s="1104"/>
      <c r="J8" s="1104"/>
      <c r="K8" s="1104"/>
      <c r="L8" s="1104"/>
      <c r="M8" s="1104"/>
      <c r="N8" s="1104"/>
      <c r="O8" s="1104"/>
      <c r="P8" s="1104"/>
      <c r="Q8" s="1104"/>
      <c r="R8" s="1104"/>
      <c r="S8" s="1104"/>
      <c r="T8" s="1104"/>
      <c r="U8" s="1104"/>
      <c r="V8" s="1105"/>
      <c r="W8" s="9"/>
      <c r="X8" s="9"/>
    </row>
    <row r="9" spans="1:72" ht="6.75" customHeight="1" x14ac:dyDescent="0.35">
      <c r="B9" s="403"/>
      <c r="C9" s="403"/>
      <c r="D9" s="403"/>
      <c r="E9" s="403"/>
      <c r="F9" s="406"/>
      <c r="G9" s="406"/>
      <c r="H9" s="406"/>
      <c r="I9" s="406"/>
      <c r="J9" s="406"/>
      <c r="K9" s="406"/>
      <c r="L9" s="406"/>
      <c r="M9" s="406"/>
      <c r="N9" s="406"/>
      <c r="O9" s="406"/>
      <c r="P9" s="406"/>
      <c r="Q9" s="406"/>
      <c r="R9" s="8"/>
      <c r="S9" s="8"/>
      <c r="T9" s="8"/>
      <c r="U9" s="8"/>
      <c r="V9" s="8"/>
      <c r="W9" s="6"/>
      <c r="X9" s="6"/>
    </row>
    <row r="10" spans="1:72" ht="15.5" x14ac:dyDescent="0.35">
      <c r="A10" s="1030" t="s">
        <v>5</v>
      </c>
      <c r="B10" s="1030"/>
      <c r="C10" s="1030"/>
      <c r="D10" s="1030"/>
      <c r="E10" s="82"/>
      <c r="F10" s="1072" t="s">
        <v>633</v>
      </c>
      <c r="G10" s="1073"/>
      <c r="H10" s="1073"/>
      <c r="I10" s="1073"/>
      <c r="J10" s="1073"/>
      <c r="K10" s="1073"/>
      <c r="L10" s="1073"/>
      <c r="M10" s="1073"/>
      <c r="N10" s="1073"/>
      <c r="O10" s="1073"/>
      <c r="P10" s="1073"/>
      <c r="Q10" s="1073"/>
      <c r="R10" s="1073"/>
      <c r="S10" s="1073"/>
      <c r="T10" s="1073"/>
      <c r="U10" s="1073"/>
      <c r="V10" s="1074"/>
      <c r="W10" s="12"/>
      <c r="X10" s="12"/>
    </row>
    <row r="11" spans="1:72" ht="5.25" customHeight="1" x14ac:dyDescent="0.35">
      <c r="B11" s="400"/>
      <c r="C11" s="400"/>
      <c r="D11" s="400"/>
      <c r="E11" s="400"/>
      <c r="F11" s="425"/>
      <c r="G11" s="425"/>
      <c r="H11" s="425"/>
      <c r="I11" s="425"/>
      <c r="J11" s="425"/>
      <c r="K11" s="425"/>
      <c r="L11" s="425"/>
      <c r="M11" s="425"/>
      <c r="N11" s="425"/>
      <c r="O11" s="425"/>
      <c r="P11" s="425"/>
      <c r="Q11" s="425"/>
      <c r="R11" s="8"/>
      <c r="S11" s="8"/>
      <c r="T11" s="8"/>
      <c r="U11" s="8"/>
      <c r="V11" s="8"/>
      <c r="W11" s="6"/>
      <c r="X11" s="6"/>
    </row>
    <row r="12" spans="1:72" ht="15.5" x14ac:dyDescent="0.35">
      <c r="A12" s="1030" t="s">
        <v>6</v>
      </c>
      <c r="B12" s="1030"/>
      <c r="C12" s="1030"/>
      <c r="D12" s="1030"/>
      <c r="E12" s="82"/>
      <c r="F12" s="1062">
        <f ca="1">NOW()</f>
        <v>43000.497892013889</v>
      </c>
      <c r="G12" s="1063"/>
      <c r="H12" s="1063"/>
      <c r="I12" s="1063"/>
      <c r="J12" s="1063"/>
      <c r="K12" s="1063"/>
      <c r="L12" s="1063"/>
      <c r="M12" s="1063"/>
      <c r="N12" s="1063"/>
      <c r="O12" s="1063"/>
      <c r="P12" s="1063"/>
      <c r="Q12" s="1063"/>
      <c r="R12" s="1063"/>
      <c r="S12" s="1063"/>
      <c r="T12" s="1063"/>
      <c r="U12" s="1063"/>
      <c r="V12" s="1064"/>
      <c r="W12" s="12"/>
      <c r="X12" s="12"/>
      <c r="AA12" s="399" t="s">
        <v>7</v>
      </c>
    </row>
    <row r="13" spans="1:72" ht="14.5" thickBot="1" x14ac:dyDescent="0.4">
      <c r="B13" s="400"/>
      <c r="C13" s="400"/>
      <c r="D13" s="400"/>
      <c r="E13" s="400"/>
      <c r="F13" s="407"/>
      <c r="G13" s="407"/>
      <c r="H13" s="404"/>
      <c r="I13" s="404"/>
      <c r="J13" s="404"/>
      <c r="K13" s="405"/>
      <c r="L13" s="404"/>
      <c r="M13" s="405"/>
      <c r="N13" s="405"/>
      <c r="O13" s="405"/>
      <c r="P13" s="405"/>
      <c r="Q13" s="405"/>
      <c r="R13" s="405"/>
      <c r="S13" s="404"/>
      <c r="T13" s="405"/>
      <c r="W13" s="6"/>
      <c r="X13" s="6"/>
      <c r="AA13" s="399"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420"/>
      <c r="J14" s="420"/>
      <c r="K14" s="1039" t="s">
        <v>13</v>
      </c>
      <c r="L14" s="1035" t="s">
        <v>14</v>
      </c>
      <c r="M14" s="1036"/>
      <c r="N14" s="1037"/>
      <c r="O14" s="941"/>
      <c r="P14" s="1042" t="s">
        <v>15</v>
      </c>
      <c r="Q14" s="1042"/>
      <c r="R14" s="1042"/>
      <c r="S14" s="1042" t="s">
        <v>16</v>
      </c>
      <c r="T14" s="1042"/>
      <c r="U14" s="1042"/>
      <c r="V14" s="1042"/>
    </row>
    <row r="15" spans="1:72" s="17" customFormat="1" ht="14.25" customHeight="1" x14ac:dyDescent="0.35">
      <c r="A15" s="1040" t="s">
        <v>17</v>
      </c>
      <c r="B15" s="1040" t="s">
        <v>18</v>
      </c>
      <c r="C15" s="942"/>
      <c r="D15" s="1040" t="s">
        <v>19</v>
      </c>
      <c r="E15" s="942"/>
      <c r="F15" s="1018" t="s">
        <v>20</v>
      </c>
      <c r="G15" s="1018"/>
      <c r="H15" s="1018"/>
      <c r="I15" s="938"/>
      <c r="J15" s="938"/>
      <c r="K15" s="1040"/>
      <c r="L15" s="1023" t="s">
        <v>21</v>
      </c>
      <c r="M15" s="1024"/>
      <c r="N15" s="1025"/>
      <c r="O15" s="940"/>
      <c r="P15" s="1023" t="s">
        <v>22</v>
      </c>
      <c r="Q15" s="1024"/>
      <c r="R15" s="1025"/>
      <c r="S15" s="1018" t="s">
        <v>23</v>
      </c>
      <c r="T15" s="1018" t="s">
        <v>24</v>
      </c>
      <c r="U15" s="1018" t="s">
        <v>5</v>
      </c>
      <c r="V15" s="1018" t="s">
        <v>25</v>
      </c>
    </row>
    <row r="16" spans="1:72" s="17" customFormat="1" ht="63" customHeight="1" thickBot="1" x14ac:dyDescent="0.4">
      <c r="A16" s="1043"/>
      <c r="B16" s="1043"/>
      <c r="C16" s="943" t="s">
        <v>96</v>
      </c>
      <c r="D16" s="1043"/>
      <c r="E16" s="943" t="s">
        <v>97</v>
      </c>
      <c r="F16" s="938" t="s">
        <v>26</v>
      </c>
      <c r="G16" s="938" t="s">
        <v>96</v>
      </c>
      <c r="H16" s="938" t="s">
        <v>10</v>
      </c>
      <c r="I16" s="938" t="s">
        <v>96</v>
      </c>
      <c r="J16" s="938" t="s">
        <v>27</v>
      </c>
      <c r="K16" s="1041"/>
      <c r="L16" s="938" t="s">
        <v>26</v>
      </c>
      <c r="M16" s="938" t="s">
        <v>10</v>
      </c>
      <c r="N16" s="943" t="s">
        <v>27</v>
      </c>
      <c r="O16" s="943" t="s">
        <v>100</v>
      </c>
      <c r="P16" s="938" t="s">
        <v>28</v>
      </c>
      <c r="Q16" s="938" t="s">
        <v>24</v>
      </c>
      <c r="R16" s="938" t="s">
        <v>29</v>
      </c>
      <c r="S16" s="1018"/>
      <c r="T16" s="1018"/>
      <c r="U16" s="1018"/>
      <c r="V16" s="1018"/>
    </row>
    <row r="17" spans="1:70" ht="409.6" customHeight="1" x14ac:dyDescent="0.35">
      <c r="A17" s="856" t="str">
        <f>IF(ISTEXT([24]IdentificaciónRiesgos!$B6),[24]IdentificaciónRiesgos!$A6,"")</f>
        <v xml:space="preserve">Falta por actualizar la documentación del SGI, con el objetivo de establecer lineamientos y parámetros claros para la implementación de los mismos. </v>
      </c>
      <c r="B17" s="856" t="str">
        <f>IF(ISTEXT([24]IdentificaciónRiesgos!$B6),[24]IdentificaciónRiesgos!$B6,"")</f>
        <v xml:space="preserve"> Uso de documentación obsoleta</v>
      </c>
      <c r="C17" s="856" t="str">
        <f>IF(ISTEXT([24]IdentificaciónRiesgos!$B6),[24]IdentificaciónRiesgos!$C6,"")</f>
        <v>▪Deficiente uso de la documentacion actualizada para cada proceso 
▪Los funcionarios no siguen de forma estricta la documentacion relacionada con el proceso</v>
      </c>
      <c r="D17" s="856" t="str">
        <f>IF(ISTEXT([24]IdentificaciónRiesgos!$B6),[24]IdentificaciónRiesgos!$D6,"")</f>
        <v>▪Retroceso en las actividades ▪Duplicidad de la informacion</v>
      </c>
      <c r="E17" s="850" t="str">
        <f>IF(ISTEXT([24]IdentificaciónRiesgos!$B6),VLOOKUP($C17,[24]DefiniciónRiesgos!$A$4:$F$9,6,FALSE),"")</f>
        <v>RIESGO DE GESTIÓN</v>
      </c>
      <c r="F17" s="851">
        <f>IF(ISTEXT([24]IdentificaciónRiesgos!$B6),IF(EXACT([24]AnálisisRiesgos!$B9,"X"),5,IF(EXACT([24]AnálisisRiesgos!$C9,"X"),4,IF(EXACT([24]AnálisisRiesgos!$D9,"X"),3,IF(EXACT([24]AnálisisRiesgos!$E9,"X"),2,IF(EXACT([24]AnálisisRiesgos!$F9,"X"),1,""))))),"")</f>
        <v>3</v>
      </c>
      <c r="G17" s="851" t="str">
        <f t="shared" ref="G17" si="0">IF(EXACT($F17,5),"Casí Seguro",IF(EXACT($F17,4),"Probable",IF(EXACT($F17,3),"Posible",IF(EXACT($F17,2),"Improbable","Rara Vez"))))</f>
        <v>Posible</v>
      </c>
      <c r="H17" s="852">
        <f>IF(EXACT($B17,""),"",IF(EXACT($E17,"RIESGO DE GESTIÓN"),IF(EXACT([24]AnálisisRiesgos!$G9,"X"),5,IF(EXACT([24]AnálisisRiesgos!$H9,"X"),4,IF(EXACT([24]AnálisisRiesgos!$I9,"X"),3,IF(EXACT([24]AnálisisRiesgos!$J9,"X"),2,1)))),IF(EXACT([24]AnálisisRiesgos!$L9,"X"),20,IF(EXACT([24]AnálisisRiesgos!$M9,"X"),10,5))))</f>
        <v>2</v>
      </c>
      <c r="I17" s="852" t="str">
        <f t="shared" ref="I17" si="1">IF(EXACT($E17,"RIESGO DE GESTIÓN"),IF(EXACT($H17,1),"Insignificante",IF(EXACT($H17,2),"Menor",IF(EXACT($H17,3),"Moderado",IF(EXACT($H17,4),"Mayor","Catastrófico")))),IF(EXACT($H17,5),"Moderado",IF(EXACT($H17,10),"Mayor","Catastrófico")))</f>
        <v>Menor</v>
      </c>
      <c r="J17" s="853" t="s">
        <v>49</v>
      </c>
      <c r="K17" s="1016" t="s">
        <v>634</v>
      </c>
      <c r="L17" s="1067" t="s">
        <v>26</v>
      </c>
      <c r="M17" s="1068"/>
      <c r="N17" s="853" t="s">
        <v>640</v>
      </c>
      <c r="O17" s="854" t="s">
        <v>154</v>
      </c>
      <c r="P17" s="855" t="s">
        <v>83</v>
      </c>
      <c r="Q17" s="713" t="s">
        <v>635</v>
      </c>
      <c r="R17" s="855" t="s">
        <v>636</v>
      </c>
      <c r="S17" s="857">
        <v>42947</v>
      </c>
      <c r="T17" s="695" t="s">
        <v>637</v>
      </c>
      <c r="U17" s="858" t="s">
        <v>638</v>
      </c>
      <c r="V17" s="728" t="s">
        <v>639</v>
      </c>
      <c r="X17" s="409" t="str">
        <f>IF(AND(F17=1,H17=5),$H$25,IF(AND(F17=1,H17=10),$J$25,IF(AND(F17=1,H17=20),$K$25," ")))</f>
        <v xml:space="preserve"> </v>
      </c>
      <c r="Y17" s="409" t="str">
        <f>IF(AND(F17=2,H17=5),$H$26,IF(AND(F17=2,H17=10),$J$26,IF(AND(F17=2,H17=20),$K$26," ")))</f>
        <v xml:space="preserve"> </v>
      </c>
      <c r="Z17" s="409" t="str">
        <f>IF(AND(F17=3,H17=5),$H$27,IF(AND(F17=3,H17=10),$J$27,IF(AND(F17=3,H17=20),$K$27," ")))</f>
        <v xml:space="preserve"> </v>
      </c>
      <c r="AA17" s="409" t="str">
        <f>IF(AND(F17=4,H17=5),$H$28,IF(AND(F17=4,H17=10),$J$28,IF(AND(F17=4,H17=20),$K$28," ")))</f>
        <v xml:space="preserve"> </v>
      </c>
      <c r="AB17" s="409" t="str">
        <f>IF(AND(F17=5,H17=5),$H$29,IF(AND(F17=5,H17=10),$J$29,IF(AND(F17=5,H17=20),$K$29," ")))</f>
        <v xml:space="preserve"> </v>
      </c>
      <c r="AD17" s="29" t="s">
        <v>31</v>
      </c>
      <c r="AE17" s="409" t="str">
        <f>IF(AND(L17&gt;0,[25]EvaluaciónRiesgoCorrupR1!$F$11&gt;75,F17=1,H17=5),$H$25,IF(AND(L17&gt;0,[25]EvaluaciónRiesgoCorrupR1!$F$11&gt;75,F17=1,H17=10),$J$25,IF(AND(L17&gt;0,[25]EvaluaciónRiesgoCorrupR1!$F$11&gt;75,F17=1,H17=20),$K$25," ")))</f>
        <v xml:space="preserve"> </v>
      </c>
      <c r="AF17" s="409" t="str">
        <f>IF(AND(L17&gt;0,[25]EvaluaciónRiesgoCorrupR1!$F$11&gt;75,F17=2,H17=5),$H$25,IF(AND(L17&gt;0,[25]EvaluaciónRiesgoCorrupR1!$F$11&gt;75,F17=2,H17=10),$J$25,IF(AND(L17&gt;0,[25]EvaluaciónRiesgoCorrupR1!$F$11&gt;75,F17=2,H17=20),$K$25," ")))</f>
        <v xml:space="preserve"> </v>
      </c>
      <c r="AG17" s="409" t="str">
        <f>IF(AND(L17&gt;0,[25]EvaluaciónRiesgoCorrupR1!$F$11&gt;75,F17=3,H17=5),$H$25,IF(AND(L17&gt;0,[25]EvaluaciónRiesgoCorrupR1!$F$11&gt;75,F17=3,H17=10),$J$25,IF(AND(L17&gt;0,[25]EvaluaciónRiesgoCorrupR1!$F$11&gt;75,F17=3,H17=20),$K$25," ")))</f>
        <v xml:space="preserve"> </v>
      </c>
      <c r="AH17" s="409" t="str">
        <f>IF(AND(L17&gt;0,[25]EvaluaciónRiesgoCorrupR1!$F$11&gt;75,F17=4,H17=5),$H$26,IF(AND(L17&gt;0,[25]EvaluaciónRiesgoCorrupR1!$F$11&gt;75,F17=4,H17=10),$J$26,IF(AND(L17&gt;0,[25]EvaluaciónRiesgoCorrupR1!$F$11&gt;75,F17=4,H17=20),$K$26," ")))</f>
        <v xml:space="preserve"> </v>
      </c>
      <c r="AI17" s="409" t="str">
        <f>IF(AND(L17&gt;0,[25]EvaluaciónRiesgoCorrupR1!$F$11&gt;75,F17=5,H17=5),$H$27,IF(AND(L17&gt;0,[25]EvaluaciónRiesgoCorrupR1!$F$11&gt;75,F17=5,H17=10),$J$27,IF(AND(L17&gt;0,[25]EvaluaciónRiesgoCorrupR1!$F$11&gt;75,F17=5,H17=20),$K$27," ")))</f>
        <v xml:space="preserve"> </v>
      </c>
      <c r="AJ17" s="29" t="s">
        <v>32</v>
      </c>
      <c r="AK17" s="409" t="str">
        <f>IF(AND(L17&gt;0,[25]EvaluaciónRiesgoCorrupR1!$F$11&gt;50,[25]EvaluaciónRiesgoCorrupR1!$F$11&lt;76,F17=1,H17=5),$H$25,IF(AND(L17&gt;0,[25]EvaluaciónRiesgoCorrupR1!$F$11&gt;50,[25]EvaluaciónRiesgoCorrupR1!$F$11&lt;76,F17=1,H17=10),$J$25,IF(AND(L17&gt;0,[25]EvaluaciónRiesgoCorrupR1!$F$11&gt;50,[25]EvaluaciónRiesgoCorrupR1!$F$11&lt;76,F17=1,H17=20),$K$25," ")))</f>
        <v xml:space="preserve"> </v>
      </c>
      <c r="AL17" s="409" t="str">
        <f>IF(AND(L17&gt;0,[25]EvaluaciónRiesgoCorrupR1!$F$11&gt;50,[25]EvaluaciónRiesgoCorrupR1!$F$11&lt;76,F17=2,H17=5),$H$25,IF(AND(L17&gt;0,[25]EvaluaciónRiesgoCorrupR1!$F$11&gt;50,[25]EvaluaciónRiesgoCorrupR1!$F$11&lt;76,F17=2,H17=10),$J$25,IF(AND(L17&gt;0,[25]EvaluaciónRiesgoCorrupR1!$F$11&gt;50,[25]EvaluaciónRiesgoCorrupR1!$F$11&lt;76,F17=2,H17=20),$K$25," ")))</f>
        <v xml:space="preserve"> </v>
      </c>
      <c r="AM17" s="409" t="str">
        <f>IF(AND(L17&gt;0,[25]EvaluaciónRiesgoCorrupR1!$F$11&gt;50,[25]EvaluaciónRiesgoCorrupR1!$F$11&lt;76,F17=3,H17=5),$H$26,IF(AND(L17&gt;0,[25]EvaluaciónRiesgoCorrupR1!$F$11&gt;50,[25]EvaluaciónRiesgoCorrupR1!$F$11&lt;76,F17=3,H17=10),$J$26,IF(AND(L17&gt;0,[25]EvaluaciónRiesgoCorrupR1!$F$11&gt;50,[25]EvaluaciónRiesgoCorrupR1!$F$11&lt;76,F17=3,H17=20),$K$26," ")))</f>
        <v xml:space="preserve"> </v>
      </c>
      <c r="AN17" s="409" t="str">
        <f>IF(AND(L17&gt;0,[25]EvaluaciónRiesgoCorrupR1!$F$11&gt;50,[25]EvaluaciónRiesgoCorrupR1!$F$11&lt;76,F17=4,H17=5),$H$27,IF(AND(L17&gt;0,[25]EvaluaciónRiesgoCorrupR1!$F$11&gt;50,[25]EvaluaciónRiesgoCorrupR1!$F$11&lt;76,F17=4,H17=10),$J$27,IF(AND(L17&gt;0,[25]EvaluaciónRiesgoCorrupR1!$F$11&gt;50,[25]EvaluaciónRiesgoCorrupR1!$F$11&lt;76,F17=4,H17=20),$K$27," ")))</f>
        <v xml:space="preserve"> </v>
      </c>
      <c r="AO17" s="409" t="str">
        <f>IF(AND(L17&gt;0,[25]EvaluaciónRiesgoCorrupR1!$F$11&gt;50,[25]EvaluaciónRiesgoCorrupR1!$F$11&lt;76,F17=5,H17=5),$H$28,IF(AND(L17&gt;0,[25]EvaluaciónRiesgoCorrupR1!$F$11&gt;50,[25]EvaluaciónRiesgoCorrupR1!$F$11&lt;76,F17=5,H17=10),$J$28,IF(AND(L17&gt;0,[25]EvaluaciónRiesgoCorrupR1!$F$11&gt;50,[25]EvaluaciónRiesgoCorrupR1!$F$11&lt;76,F17=5,H17=20),$K$28," ")))</f>
        <v xml:space="preserve"> </v>
      </c>
      <c r="AQ17" s="29" t="s">
        <v>33</v>
      </c>
      <c r="AR17" s="409" t="str">
        <f>IF(AND(L17&gt;0,[25]EvaluaciónRiesgoCorrupR1!$F$11&lt;51,F17=1,H17=5),$H$25,IF(AND(L17&gt;0,[25]EvaluaciónRiesgoCorrupR1!$F$11&lt;51,F17=1,H17=10),$J$25,IF(AND(L17&gt;0,[25]EvaluaciónRiesgoCorrupR1!$F$11&lt;51,F17=1,H17=20),K$25," ")))</f>
        <v xml:space="preserve"> </v>
      </c>
      <c r="AS17" s="409" t="str">
        <f>IF(AND(L17&gt;0,[25]EvaluaciónRiesgoCorrupR1!$F$11&lt;51,F17=2,H17=5),$H$26,IF(AND(L17&gt;0,[25]EvaluaciónRiesgoCorrupR1!$F$11&lt;51,F17=2,H17=10),$J$26,IF(AND(L17&gt;0,[25]EvaluaciónRiesgoCorrupR1!$F$11&lt;51,F17=2,H17=20),K$26," ")))</f>
        <v xml:space="preserve"> </v>
      </c>
      <c r="AT17" s="409" t="str">
        <f>IF(AND(L17&gt;0,[25]EvaluaciónRiesgoCorrupR1!$F$11&lt;51,F17=3,H17=5),$H$27,IF(AND(L17&gt;0,[25]EvaluaciónRiesgoCorrupR1!$F$11&lt;51,F17=3,H17=10),$J$27,IF(AND(L17&gt;0,[25]EvaluaciónRiesgoCorrupR1!$F$11&lt;51,F17=3,H17=20),K$27," ")))</f>
        <v xml:space="preserve"> </v>
      </c>
      <c r="AU17" s="409" t="str">
        <f>IF(AND(L17&gt;0,[25]EvaluaciónRiesgoCorrupR1!$F$11&lt;51,F17=4,H17=5),$H$28,IF(AND(L17&gt;0,[25]EvaluaciónRiesgoCorrupR1!$F$11&lt;51,F17=4,H17=10),$J$28,IF(AND(L17&gt;0,[25]EvaluaciónRiesgoCorrupR1!$F$11&lt;51,F17=4,H17=20),K$28," ")))</f>
        <v xml:space="preserve"> </v>
      </c>
      <c r="AV17" s="409" t="str">
        <f>IF(AND(L17&gt;0,[25]EvaluaciónRiesgoCorrupR1!$F$11&lt;51,F17=5,H17=5),$H$29,IF(AND(L17&gt;0,[25]EvaluaciónRiesgoCorrupR1!$F$11&lt;51,F17=5,H17=10),$J$29,IF(AND(L17&gt;0,[25]EvaluaciónRiesgoCorrupR1!$F$11&lt;51,F17=5,H17=20),K$29," ")))</f>
        <v xml:space="preserve"> </v>
      </c>
      <c r="AY17" s="29" t="s">
        <v>31</v>
      </c>
      <c r="AZ17" s="409" t="str">
        <f>IF(AND(M17&gt;0,[25]EvaluaciónRiesgoCorrupR1!$F$11&gt;75,F17=1,H17=5),$H$25,IF(AND(M17&gt;0,[25]EvaluaciónRiesgoCorrupR1!$F$11&gt;75,F17=1,H17=10),$H$25,IF(AND(M17&gt;0,[25]EvaluaciónRiesgoCorrupR1!$F$11&gt;75,F17=1,H17=20),$H$25," ")))</f>
        <v xml:space="preserve"> </v>
      </c>
      <c r="BA17" s="409" t="str">
        <f>IF(AND(M17&gt;0,[25]EvaluaciónRiesgoCorrupR1!$F$11&gt;75,F17=2,H17=5),$H$26,IF(AND(M17&gt;0,[25]EvaluaciónRiesgoCorrupR1!$F$11&gt;75,F17=2,H17=10),$H$26,IF(AND(M17&gt;0,[25]EvaluaciónRiesgoCorrupR1!$F$11&gt;75,F17=2,H17=20),$H$26," ")))</f>
        <v xml:space="preserve"> </v>
      </c>
      <c r="BB17" s="409" t="str">
        <f>IF(AND(M17&gt;0,[25]EvaluaciónRiesgoCorrupR1!$F$11&gt;75,F17=3,H17=5),$H$27,IF(AND(M17&gt;0,[25]EvaluaciónRiesgoCorrupR1!$F$11&gt;75,F17=3,H17=10),$H$27,IF(AND(M17&gt;0,[25]EvaluaciónRiesgoCorrupR1!$F$11&gt;75,F17=3,H17=20),$H$27," ")))</f>
        <v xml:space="preserve"> </v>
      </c>
      <c r="BC17" s="409" t="str">
        <f>IF(AND(M17&gt;0,[25]EvaluaciónRiesgoCorrupR1!$F$11&gt;75,F17=4,H17=5),$H$28,IF(AND(M17&gt;0,[25]EvaluaciónRiesgoCorrupR1!$F$11&gt;75,F17=4,H17=10),$H$28,IF(AND(M17&gt;0,[25]EvaluaciónRiesgoCorrupR1!$F$11&gt;75,F17=4,H17=20),$H$28," ")))</f>
        <v xml:space="preserve"> </v>
      </c>
      <c r="BD17" s="409" t="str">
        <f>IF(AND(M17&gt;0,[25]EvaluaciónRiesgoCorrupR1!$F$11&gt;75,F17=5,H17=5),$H$29,IF(AND(M17&gt;0,[25]EvaluaciónRiesgoCorrupR1!$F$11&gt;75,F17=5,H17=10),$H$29,IF(AND(M17&gt;0,[25]EvaluaciónRiesgoCorrupR1!$F$11&gt;75,F17=5,H17=20),$H$29," ")))</f>
        <v xml:space="preserve"> </v>
      </c>
      <c r="BF17" s="29" t="s">
        <v>32</v>
      </c>
      <c r="BG17" s="409" t="str">
        <f>IF(AND(M17&gt;0,[25]EvaluaciónRiesgoCorrupR1!$F$11&gt;50,[25]EvaluaciónRiesgoCorrupR1!$F$11&lt;76,F17=1,H17=5),$H$25,IF(AND(M17&gt;0,[25]EvaluaciónRiesgoCorrupR1!$F$11&gt;50,[25]EvaluaciónRiesgoCorrupR1!$F$11&lt;76,F17=1,H17=10),$H$25,IF(AND(M17&gt;0,[25]EvaluaciónRiesgoCorrupR1!$F$11&gt;50,[25]EvaluaciónRiesgoCorrupR1!$F$11&lt;76,F17=1,H17=20),$J$25," ")))</f>
        <v xml:space="preserve"> </v>
      </c>
      <c r="BH17" s="409" t="str">
        <f>IF(AND(M17&gt;0,[25]EvaluaciónRiesgoCorrupR1!$F$11&gt;50,[25]EvaluaciónRiesgoCorrupR1!$F$11&lt;76,F17=2,H17=5),$H$26,IF(AND(M17&gt;0,[25]EvaluaciónRiesgoCorrupR1!$F$11&gt;50,[25]EvaluaciónRiesgoCorrupR1!$F$11&lt;76,F17=2,H17=10),$H$26,IF(AND(M17&gt;0,[25]EvaluaciónRiesgoCorrupR1!$F$11&gt;50,[25]EvaluaciónRiesgoCorrupR1!$F$11&lt;76,F17=2,H17=20),$J$26," ")))</f>
        <v xml:space="preserve"> </v>
      </c>
      <c r="BI17" s="409" t="str">
        <f>IF(AND(M17&gt;0,[25]EvaluaciónRiesgoCorrupR1!$F$11&gt;50,[25]EvaluaciónRiesgoCorrupR1!$F$11&lt;76,F17=3,H17=5),$H$27,IF(AND(M17&gt;0,[25]EvaluaciónRiesgoCorrupR1!$F$11&gt;50,[25]EvaluaciónRiesgoCorrupR1!$F$11&lt;76,F17=3,H17=10),$H$27,IF(AND(M17&gt;0,[25]EvaluaciónRiesgoCorrupR1!$F$11&gt;50,[25]EvaluaciónRiesgoCorrupR1!$F$11&lt;76,F17=3,H17=20),$J$27," ")))</f>
        <v xml:space="preserve"> </v>
      </c>
      <c r="BJ17" s="409" t="str">
        <f>IF(AND(M17&gt;0,[25]EvaluaciónRiesgoCorrupR1!$F$11&gt;50,[25]EvaluaciónRiesgoCorrupR1!$F$11&lt;76,F17=4,H17=5),$H$28,IF(AND(M17&gt;0,[25]EvaluaciónRiesgoCorrupR1!$F$11&gt;50,[25]EvaluaciónRiesgoCorrupR1!$F$11&lt;76,F17=4,H17=10),$H$28,IF(AND(M17&gt;0,[25]EvaluaciónRiesgoCorrupR1!$F$11&gt;50,[25]EvaluaciónRiesgoCorrupR1!$F$11&lt;76,F17=4,H17=20),$J$28," ")))</f>
        <v xml:space="preserve"> </v>
      </c>
      <c r="BK17" s="409" t="str">
        <f>IF(AND(M17&gt;0,[25]EvaluaciónRiesgoCorrupR1!$F$11&gt;50,[25]EvaluaciónRiesgoCorrupR1!$F$11&lt;76,F17=5,H17=5),$H$29,IF(AND(M17&gt;0,[25]EvaluaciónRiesgoCorrupR1!$F$11&gt;50,[25]EvaluaciónRiesgoCorrupR1!$F$11&lt;76,F17=5,H17=10),$H$29,IF(AND(M17&gt;0,[25]EvaluaciónRiesgoCorrupR1!$F$11&gt;50,[25]EvaluaciónRiesgoCorrupR1!$F$11&lt;76,F17=5,H17=20),$J$29," ")))</f>
        <v xml:space="preserve"> </v>
      </c>
      <c r="BM17" s="29" t="s">
        <v>33</v>
      </c>
      <c r="BN17" s="409" t="str">
        <f>IF(AND(M17&gt;0,[25]EvaluaciónRiesgoCorrupR1!$F$11&lt;51,F17=1,H17=5),$H$25,IF(AND(M17&gt;0,[25]EvaluaciónRiesgoCorrupR1!$F$11&lt;51,F17=1,H17=10),$J$25,IF(AND(M17&gt;0,[25]EvaluaciónRiesgoCorrupR1!$F$11&lt;51,F17=1,H17=20),$K$25," ")))</f>
        <v xml:space="preserve"> </v>
      </c>
      <c r="BO17" s="409" t="str">
        <f>IF(AND(M17&gt;0,[25]EvaluaciónRiesgoCorrupR1!$F$11&lt;51,F17=2,H17=5),$H$26,IF(AND(M17&gt;0,[25]EvaluaciónRiesgoCorrupR1!$F$11&lt;51,F17=2,H17=10),$J$26,IF(AND(M17&gt;0,[25]EvaluaciónRiesgoCorrupR1!$F$11&lt;51,F17=2,H17=20),$K$26," ")))</f>
        <v xml:space="preserve"> </v>
      </c>
      <c r="BP17" s="409" t="str">
        <f>IF(AND(M17&gt;0,[25]EvaluaciónRiesgoCorrupR1!$F$11&lt;51,F17=3,H17=5),$H$27,IF(AND(M17&gt;0,[25]EvaluaciónRiesgoCorrupR1!$F$11&lt;51,F17=3,H17=10),$J$27,IF(AND(M17&gt;0,[25]EvaluaciónRiesgoCorrupR1!$F$11&lt;51,F17=3,H17=20),$K$27," ")))</f>
        <v xml:space="preserve"> </v>
      </c>
      <c r="BQ17" s="409" t="str">
        <f>IF(AND(M17&gt;0,[25]EvaluaciónRiesgoCorrupR1!$F$11&lt;51,F17=4,H17=5),$H$28,IF(AND(M17&gt;0,[25]EvaluaciónRiesgoCorrupR1!$F$11&lt;51,F17=4,H17=10),$J$28,IF(AND(M17&gt;0,[25]EvaluaciónRiesgoCorrupR1!$F$11&lt;51,F17=4,H17=20),$K$28," ")))</f>
        <v xml:space="preserve"> </v>
      </c>
      <c r="BR17" s="409" t="str">
        <f>IF(AND(M17&gt;0,[25]EvaluaciónRiesgoCorrupR1!$F$11&lt;51,F17=5,H17=5),$H$29,IF(AND(M17&gt;0,[25]EvaluaciónRiesgoCorrupR1!$F$11&lt;51,F17=5,H17=10),$J$29,IF(AND(M17&gt;0,[25]EvaluaciónRiesgoCorrupR1!$F$11&lt;51,F17=5,H17=20),$K$29," ")))</f>
        <v xml:space="preserve"> </v>
      </c>
    </row>
    <row r="18" spans="1:70" ht="346.5" customHeight="1" x14ac:dyDescent="0.35">
      <c r="A18" s="856"/>
      <c r="B18" s="856"/>
      <c r="C18" s="856"/>
      <c r="D18" s="856"/>
      <c r="E18" s="850"/>
      <c r="F18" s="851"/>
      <c r="G18" s="851"/>
      <c r="H18" s="852"/>
      <c r="I18" s="852"/>
      <c r="J18" s="548" t="str">
        <f>CONCATENATE(X18,Y18,Z18,AA18,AB18)</f>
        <v xml:space="preserve">     </v>
      </c>
      <c r="K18" s="540"/>
      <c r="L18" s="1065"/>
      <c r="M18" s="1066"/>
      <c r="N18" s="548" t="str">
        <f>CONCATENATE(AE18,AF18,AG18,AH18,AI18,AK18,AL18,AM18,AN18,AO18,AR18,AS18,AT18,AU18,AV18,AZ18,BA18,BB18,BC18,BD18,BG18,BH18,BI18,BJ18,BK18,BN18,BO18,BP18,BQ18,BR18)</f>
        <v xml:space="preserve">                              </v>
      </c>
      <c r="O18" s="548"/>
      <c r="P18" s="855"/>
      <c r="Q18" s="867"/>
      <c r="R18" s="855"/>
      <c r="S18" s="857"/>
      <c r="T18" s="695"/>
      <c r="U18" s="398"/>
      <c r="V18" s="409"/>
      <c r="X18" s="409" t="str">
        <f>IF(AND(F18=1,H18=5),$H$25,IF(AND(F18=1,H18=10),$J$25,IF(AND(F18=1,H18=20),$K$25," ")))</f>
        <v xml:space="preserve"> </v>
      </c>
      <c r="Y18" s="409" t="str">
        <f>IF(AND(F18=2,H18=5),$H$26,IF(AND(F18=2,H18=10),$J$26,IF(AND(F18=2,H18=20),$K$26," ")))</f>
        <v xml:space="preserve"> </v>
      </c>
      <c r="Z18" s="409" t="str">
        <f>IF(AND(F18=3,H18=5),$H$27,IF(AND(F18=3,H18=10),$J$27,IF(AND(F18=3,H18=20),$K$27," ")))</f>
        <v xml:space="preserve"> </v>
      </c>
      <c r="AA18" s="409" t="str">
        <f>IF(AND(F18=4,H18=5),$H$28,IF(AND(F18=4,H18=10),$J$28,IF(AND(F18=4,H18=20),$K$28," ")))</f>
        <v xml:space="preserve"> </v>
      </c>
      <c r="AB18" s="409" t="str">
        <f>IF(AND(F18=5,H18=5),$H$29,IF(AND(F18=5,H18=10),$J$29,IF(AND(F18=5,H18=20),$K$29," ")))</f>
        <v xml:space="preserve"> </v>
      </c>
      <c r="AE18" s="409" t="str">
        <f>IF(AND(L18&gt;0,[25]EvaluaciónRiesgoCorrupR1!$F$11&gt;75,F18=1,H18=5),$H$25,IF(AND(L18&gt;0,[25]EvaluaciónRiesgoCorrupR1!$F$11&gt;75,F18=1,H18=10),$J$25,IF(AND(L18&gt;0,[25]EvaluaciónRiesgoCorrupR1!$F$11&gt;75,F18=1,H18=20),$K$25," ")))</f>
        <v xml:space="preserve"> </v>
      </c>
      <c r="AF18" s="409" t="str">
        <f>IF(AND(L18&gt;0,[25]EvaluaciónRiesgoCorrupR1!$F$11&gt;75,F18=2,H18=5),$H$25,IF(AND(L18&gt;0,[25]EvaluaciónRiesgoCorrupR1!$F$11&gt;75,F18=2,H18=10),$J$25,IF(AND(L18&gt;0,[25]EvaluaciónRiesgoCorrupR1!$F$11&gt;75,F18=2,H18=20),$K$25," ")))</f>
        <v xml:space="preserve"> </v>
      </c>
      <c r="AG18" s="409" t="str">
        <f>IF(AND(L18&gt;0,[25]EvaluaciónRiesgoCorrupR1!$F$11&gt;75,F18=3,H18=5),$H$25,IF(AND(L18&gt;0,[25]EvaluaciónRiesgoCorrupR1!$F$11&gt;75,F18=3,H18=10),$J$25,IF(AND(L18&gt;0,[25]EvaluaciónRiesgoCorrupR1!$F$11&gt;75,F18=3,H18=20),$K$25," ")))</f>
        <v xml:space="preserve"> </v>
      </c>
      <c r="AH18" s="409" t="str">
        <f>IF(AND(L18&gt;0,[25]EvaluaciónRiesgoCorrupR1!$F$11&gt;75,F18=4,H18=5),$H$26,IF(AND(L18&gt;0,[25]EvaluaciónRiesgoCorrupR1!$F$11&gt;75,F18=4,H18=10),$J$26,IF(AND(L18&gt;0,[25]EvaluaciónRiesgoCorrupR1!$F$11&gt;75,F18=4,H18=20),$K$26," ")))</f>
        <v xml:space="preserve"> </v>
      </c>
      <c r="AI18" s="409" t="str">
        <f>IF(AND(L18&gt;0,[25]EvaluaciónRiesgoCorrupR1!$F$11&gt;75,F18=5,H18=5),$H$27,IF(AND(L18&gt;0,[25]EvaluaciónRiesgoCorrupR1!$F$11&gt;75,F18=5,H18=10),$J$27,IF(AND(L18&gt;0,[25]EvaluaciónRiesgoCorrupR1!$F$11&gt;75,F18=5,H18=20),$K$27," ")))</f>
        <v xml:space="preserve"> </v>
      </c>
      <c r="AK18" s="409" t="str">
        <f>IF(AND(L18&gt;0,[25]EvaluaciónRiesgoCorrupR1!$F$11&gt;50,[25]EvaluaciónRiesgoCorrupR1!$F$11&lt;76,F18=1,H18=5),$H$25,IF(AND(L18&gt;0,[25]EvaluaciónRiesgoCorrupR1!$F$11&gt;50,[25]EvaluaciónRiesgoCorrupR1!$F$11&lt;76,F18=1,H18=10),$J$25,IF(AND(L18&gt;0,[25]EvaluaciónRiesgoCorrupR1!$F$11&gt;50,[25]EvaluaciónRiesgoCorrupR1!$F$11&lt;76,F18=1,H18=20),$K$25," ")))</f>
        <v xml:space="preserve"> </v>
      </c>
      <c r="AL18" s="409" t="str">
        <f>IF(AND(L18&gt;0,[25]EvaluaciónRiesgoCorrupR1!$F$11&gt;50,[25]EvaluaciónRiesgoCorrupR1!$F$11&lt;76,F18=2,H18=5),$H$25,IF(AND(L18&gt;0,[25]EvaluaciónRiesgoCorrupR1!$F$11&gt;50,[25]EvaluaciónRiesgoCorrupR1!$F$11&lt;76,F18=2,H18=10),$J$25,IF(AND(L18&gt;0,[25]EvaluaciónRiesgoCorrupR1!$F$11&gt;50,[25]EvaluaciónRiesgoCorrupR1!$F$11&lt;76,F18=2,H18=20),$K$25," ")))</f>
        <v xml:space="preserve"> </v>
      </c>
      <c r="AM18" s="409" t="str">
        <f>IF(AND(L18&gt;0,[25]EvaluaciónRiesgoCorrupR1!$F$11&gt;50,[25]EvaluaciónRiesgoCorrupR1!$F$11&lt;76,F18=3,H18=5),$H$26,IF(AND(L18&gt;0,[25]EvaluaciónRiesgoCorrupR1!$F$11&gt;50,[25]EvaluaciónRiesgoCorrupR1!$F$11&lt;76,F18=3,H18=10),$J$26,IF(AND(L18&gt;0,[25]EvaluaciónRiesgoCorrupR1!$F$11&gt;50,[25]EvaluaciónRiesgoCorrupR1!$F$11&lt;76,F18=3,H18=20),$K$26," ")))</f>
        <v xml:space="preserve"> </v>
      </c>
      <c r="AN18" s="409" t="str">
        <f>IF(AND(L18&gt;0,[25]EvaluaciónRiesgoCorrupR1!$F$11&gt;50,[25]EvaluaciónRiesgoCorrupR1!$F$11&lt;76,F18=4,H18=5),$H$27,IF(AND(L18&gt;0,[25]EvaluaciónRiesgoCorrupR1!$F$11&gt;50,[25]EvaluaciónRiesgoCorrupR1!$F$11&lt;76,F18=4,H18=10),$J$27,IF(AND(L18&gt;0,[25]EvaluaciónRiesgoCorrupR1!$F$11&gt;50,[25]EvaluaciónRiesgoCorrupR1!$F$11&lt;76,F18=4,H18=20),$K$27," ")))</f>
        <v xml:space="preserve"> </v>
      </c>
      <c r="AO18" s="409" t="str">
        <f>IF(AND(L18&gt;0,[25]EvaluaciónRiesgoCorrupR1!$F$11&gt;50,[25]EvaluaciónRiesgoCorrupR1!$F$11&lt;76,F18=5,H18=5),$H$28,IF(AND(L18&gt;0,[25]EvaluaciónRiesgoCorrupR1!$F$11&gt;50,[25]EvaluaciónRiesgoCorrupR1!$F$11&lt;76,F18=5,H18=10),$J$28,IF(AND(L18&gt;0,[25]EvaluaciónRiesgoCorrupR1!$F$11&gt;50,[25]EvaluaciónRiesgoCorrupR1!$F$11&lt;76,F18=5,H18=20),$K$28," ")))</f>
        <v xml:space="preserve"> </v>
      </c>
      <c r="AR18" s="409" t="str">
        <f>IF(AND(L18&gt;0,[25]EvaluaciónRiesgoCorrupR1!$F$11&lt;51,F18=1,H18=5),$H$25,IF(AND(L18&gt;0,[25]EvaluaciónRiesgoCorrupR1!$F$11&lt;51,F18=1,H18=10),$J$25,IF(AND(L18&gt;0,[25]EvaluaciónRiesgoCorrupR1!$F$11&lt;51,F18=1,H18=20),K$25," ")))</f>
        <v xml:space="preserve"> </v>
      </c>
      <c r="AS18" s="409" t="str">
        <f>IF(AND(L18&gt;0,[25]EvaluaciónRiesgoCorrupR1!$F$11&lt;51,F18=2,H18=5),$H$26,IF(AND(L18&gt;0,[25]EvaluaciónRiesgoCorrupR1!$F$11&lt;51,F18=2,H18=10),$J$26,IF(AND(L18&gt;0,[25]EvaluaciónRiesgoCorrupR1!$F$11&lt;51,F18=2,H18=20),K$26," ")))</f>
        <v xml:space="preserve"> </v>
      </c>
      <c r="AT18" s="409" t="str">
        <f>IF(AND(L18&gt;0,[25]EvaluaciónRiesgoCorrupR1!$F$11&lt;51,F18=3,H18=5),$H$27,IF(AND(L18&gt;0,[25]EvaluaciónRiesgoCorrupR1!$F$11&lt;51,F18=3,H18=10),$J$27,IF(AND(L18&gt;0,[25]EvaluaciónRiesgoCorrupR1!$F$11&lt;51,F18=3,H18=20),K$27," ")))</f>
        <v xml:space="preserve"> </v>
      </c>
      <c r="AU18" s="409" t="str">
        <f>IF(AND(L18&gt;0,[25]EvaluaciónRiesgoCorrupR1!$F$11&lt;51,F18=4,H18=5),$H$28,IF(AND(L18&gt;0,[25]EvaluaciónRiesgoCorrupR1!$F$11&lt;51,F18=4,H18=10),$J$28,IF(AND(L18&gt;0,[25]EvaluaciónRiesgoCorrupR1!$F$11&lt;51,F18=4,H18=20),K$28," ")))</f>
        <v xml:space="preserve"> </v>
      </c>
      <c r="AV18" s="409" t="str">
        <f>IF(AND(L18&gt;0,[25]EvaluaciónRiesgoCorrupR1!$F$11&lt;51,F18=5,H18=5),$H$29,IF(AND(L18&gt;0,[25]EvaluaciónRiesgoCorrupR1!$F$11&lt;51,F18=5,H18=10),$J$29,IF(AND(L18&gt;0,[25]EvaluaciónRiesgoCorrupR1!$F$11&lt;51,F18=5,H18=20),K$29," ")))</f>
        <v xml:space="preserve"> </v>
      </c>
      <c r="AZ18" s="409" t="str">
        <f>IF(AND(M18&gt;0,[25]EvaluaciónRiesgoCorrupR1!$F$11&gt;75,F18=1,H18=5),$H$25,IF(AND(M18&gt;0,[25]EvaluaciónRiesgoCorrupR1!$F$11&gt;75,F18=1,H18=10),$H$25,IF(AND(M18&gt;0,[25]EvaluaciónRiesgoCorrupR1!$F$11&gt;75,F18=1,H18=20),$H$25," ")))</f>
        <v xml:space="preserve"> </v>
      </c>
      <c r="BA18" s="409" t="str">
        <f>IF(AND(M18&gt;0,[25]EvaluaciónRiesgoCorrupR1!$F$11&gt;75,F18=2,H18=5),$H$26,IF(AND(M18&gt;0,[25]EvaluaciónRiesgoCorrupR1!$F$11&gt;75,F18=2,H18=10),$H$26,IF(AND(M18&gt;0,[25]EvaluaciónRiesgoCorrupR1!$F$11&gt;75,F18=2,H18=20),$H$26," ")))</f>
        <v xml:space="preserve"> </v>
      </c>
      <c r="BB18" s="409" t="str">
        <f>IF(AND(M18&gt;0,[25]EvaluaciónRiesgoCorrupR1!$F$11&gt;75,F18=3,H18=5),$H$27,IF(AND(M18&gt;0,[25]EvaluaciónRiesgoCorrupR1!$F$11&gt;75,F18=3,H18=10),$H$27,IF(AND(M18&gt;0,[25]EvaluaciónRiesgoCorrupR1!$F$11&gt;75,F18=3,H18=20),$H$27," ")))</f>
        <v xml:space="preserve"> </v>
      </c>
      <c r="BC18" s="409" t="str">
        <f>IF(AND(M18&gt;0,[25]EvaluaciónRiesgoCorrupR1!$F$11&gt;75,F18=4,H18=5),$H$28,IF(AND(M18&gt;0,[25]EvaluaciónRiesgoCorrupR1!$F$11&gt;75,F18=4,H18=10),$H$28,IF(AND(M18&gt;0,[25]EvaluaciónRiesgoCorrupR1!$F$11&gt;75,F18=4,H18=20),$H$28," ")))</f>
        <v xml:space="preserve"> </v>
      </c>
      <c r="BD18" s="409" t="str">
        <f>IF(AND(M18&gt;0,[25]EvaluaciónRiesgoCorrupR1!$F$11&gt;75,F18=5,H18=5),$H$29,IF(AND(M18&gt;0,[25]EvaluaciónRiesgoCorrupR1!$F$11&gt;75,F18=5,H18=10),$H$29,IF(AND(M18&gt;0,[25]EvaluaciónRiesgoCorrupR1!$F$11&gt;75,F18=5,H18=20),$H$29," ")))</f>
        <v xml:space="preserve"> </v>
      </c>
      <c r="BG18" s="409" t="str">
        <f>IF(AND(M18&gt;0,[25]EvaluaciónRiesgoCorrupR1!$F$11&gt;50,[25]EvaluaciónRiesgoCorrupR1!$F$11&lt;76,F18=1,H18=5),$H$25,IF(AND(M18&gt;0,[25]EvaluaciónRiesgoCorrupR1!$F$11&gt;50,[25]EvaluaciónRiesgoCorrupR1!$F$11&lt;76,F18=1,H18=10),$H$25,IF(AND(M18&gt;0,[25]EvaluaciónRiesgoCorrupR1!$F$11&gt;50,[25]EvaluaciónRiesgoCorrupR1!$F$11&lt;76,F18=1,H18=20),$J$25," ")))</f>
        <v xml:space="preserve"> </v>
      </c>
      <c r="BH18" s="409" t="str">
        <f>IF(AND(M18&gt;0,[25]EvaluaciónRiesgoCorrupR1!$F$11&gt;50,[25]EvaluaciónRiesgoCorrupR1!$F$11&lt;76,F18=2,H18=5),$H$26,IF(AND(M18&gt;0,[25]EvaluaciónRiesgoCorrupR1!$F$11&gt;50,[25]EvaluaciónRiesgoCorrupR1!$F$11&lt;76,F18=2,H18=10),$H$26,IF(AND(M18&gt;0,[25]EvaluaciónRiesgoCorrupR1!$F$11&gt;50,[25]EvaluaciónRiesgoCorrupR1!$F$11&lt;76,F18=2,H18=20),$J$26," ")))</f>
        <v xml:space="preserve"> </v>
      </c>
      <c r="BI18" s="409" t="str">
        <f>IF(AND(M18&gt;0,[25]EvaluaciónRiesgoCorrupR1!$F$11&gt;50,[25]EvaluaciónRiesgoCorrupR1!$F$11&lt;76,F18=3,H18=5),$H$27,IF(AND(M18&gt;0,[25]EvaluaciónRiesgoCorrupR1!$F$11&gt;50,[25]EvaluaciónRiesgoCorrupR1!$F$11&lt;76,F18=3,H18=10),$H$27,IF(AND(M18&gt;0,[25]EvaluaciónRiesgoCorrupR1!$F$11&gt;50,[25]EvaluaciónRiesgoCorrupR1!$F$11&lt;76,F18=3,H18=20),$J$27," ")))</f>
        <v xml:space="preserve"> </v>
      </c>
      <c r="BJ18" s="409" t="str">
        <f>IF(AND(M18&gt;0,[25]EvaluaciónRiesgoCorrupR1!$F$11&gt;50,[25]EvaluaciónRiesgoCorrupR1!$F$11&lt;76,F18=4,H18=5),$H$28,IF(AND(M18&gt;0,[25]EvaluaciónRiesgoCorrupR1!$F$11&gt;50,[25]EvaluaciónRiesgoCorrupR1!$F$11&lt;76,F18=4,H18=10),$H$28,IF(AND(M18&gt;0,[25]EvaluaciónRiesgoCorrupR1!$F$11&gt;50,[25]EvaluaciónRiesgoCorrupR1!$F$11&lt;76,F18=4,H18=20),$J$28," ")))</f>
        <v xml:space="preserve"> </v>
      </c>
      <c r="BK18" s="409" t="str">
        <f>IF(AND(M18&gt;0,[25]EvaluaciónRiesgoCorrupR1!$F$11&gt;50,[25]EvaluaciónRiesgoCorrupR1!$F$11&lt;76,F18=5,H18=5),$H$29,IF(AND(M18&gt;0,[25]EvaluaciónRiesgoCorrupR1!$F$11&gt;50,[25]EvaluaciónRiesgoCorrupR1!$F$11&lt;76,F18=5,H18=10),$H$29,IF(AND(M18&gt;0,[25]EvaluaciónRiesgoCorrupR1!$F$11&gt;50,[25]EvaluaciónRiesgoCorrupR1!$F$11&lt;76,F18=5,H18=20),$J$29," ")))</f>
        <v xml:space="preserve"> </v>
      </c>
      <c r="BN18" s="409" t="str">
        <f>IF(AND(M18&gt;0,[25]EvaluaciónRiesgoCorrupR1!$F$11&lt;51,F18=1,H18=5),$H$25,IF(AND(M18&gt;0,[25]EvaluaciónRiesgoCorrupR1!$F$11&lt;51,F18=1,H18=10),$J$25,IF(AND(M18&gt;0,[25]EvaluaciónRiesgoCorrupR1!$F$11&lt;51,F18=1,H18=20),$K$25," ")))</f>
        <v xml:space="preserve"> </v>
      </c>
      <c r="BO18" s="409" t="str">
        <f>IF(AND(M18&gt;0,[25]EvaluaciónRiesgoCorrupR1!$F$11&lt;51,F18=2,H18=5),$H$26,IF(AND(M18&gt;0,[25]EvaluaciónRiesgoCorrupR1!$F$11&lt;51,F18=2,H18=10),$J$26,IF(AND(M18&gt;0,[25]EvaluaciónRiesgoCorrupR1!$F$11&lt;51,F18=2,H18=20),$K$26," ")))</f>
        <v xml:space="preserve"> </v>
      </c>
      <c r="BP18" s="409" t="str">
        <f>IF(AND(M18&gt;0,[25]EvaluaciónRiesgoCorrupR1!$F$11&lt;51,F18=3,H18=5),$H$27,IF(AND(M18&gt;0,[25]EvaluaciónRiesgoCorrupR1!$F$11&lt;51,F18=3,H18=10),$J$27,IF(AND(M18&gt;0,[25]EvaluaciónRiesgoCorrupR1!$F$11&lt;51,F18=3,H18=20),$K$27," ")))</f>
        <v xml:space="preserve"> </v>
      </c>
      <c r="BQ18" s="409" t="str">
        <f>IF(AND(M18&gt;0,[25]EvaluaciónRiesgoCorrupR1!$F$11&lt;51,F18=4,H18=5),$H$28,IF(AND(M18&gt;0,[25]EvaluaciónRiesgoCorrupR1!$F$11&lt;51,F18=4,H18=10),$J$28,IF(AND(M18&gt;0,[25]EvaluaciónRiesgoCorrupR1!$F$11&lt;51,F18=4,H18=20),$K$28," ")))</f>
        <v xml:space="preserve"> </v>
      </c>
      <c r="BR18" s="409" t="str">
        <f>IF(AND(M18&gt;0,[25]EvaluaciónRiesgoCorrupR1!$F$11&lt;51,F18=5,H18=5),$H$29,IF(AND(M18&gt;0,[25]EvaluaciónRiesgoCorrupR1!$F$11&lt;51,F18=5,H18=10),$J$29,IF(AND(M18&gt;0,[25]EvaluaciónRiesgoCorrupR1!$F$11&lt;51,F18=5,H18=20),$K$29," ")))</f>
        <v xml:space="preserve"> </v>
      </c>
    </row>
    <row r="19" spans="1:70" ht="409.5" customHeight="1" x14ac:dyDescent="0.35">
      <c r="A19" s="856" t="str">
        <f>IF(ISTEXT([26]IdentificaciónRiesgos!$B8),[26]IdentificaciónRiesgos!$A8,"")</f>
        <v xml:space="preserve">Falta de ética y profesionalismo del funcionario instructor ó de la Primera Instancia Disciplinaria según el caso.   </v>
      </c>
      <c r="B19" s="856" t="str">
        <f>IF(ISTEXT([26]IdentificaciónRiesgos!$B8),[26]IdentificaciónRiesgos!$B8,"")</f>
        <v>No declararse impedido cuando exista el deber jurídico de hacerlo, con el ánimo de favorecer  a los sujetos procesales.</v>
      </c>
      <c r="C19" s="856" t="str">
        <f>IF(ISTEXT([26]IdentificaciónRiesgos!$B8),[26]IdentificaciónRiesgos!$C8,"")</f>
        <v>En caso de darse algunas de las causales contenidas en el Art. 84 del CDU, el servidor público que este adelantando la actuación disciplinaria ó que le competa fallar la misma, deberá declararse impedido</v>
      </c>
      <c r="D19" s="856" t="str">
        <f>IF(ISTEXT([26]IdentificaciónRiesgos!$B8),[26]IdentificaciónRiesgos!$D8,"")</f>
        <v xml:space="preserve">Incursión en Falta Disciplinaria Gravísima, al tenor de lo previsto en el Art. 48 No. 17 del CDU. </v>
      </c>
      <c r="E19" s="850" t="str">
        <f>IF(ISTEXT([26]IdentificaciónRiesgos!$B8),VLOOKUP($C19,[26]DefiniciónRiesgos!$A$4:$F$9,6,FALSE),"")</f>
        <v>RIESGO DE CORRUPCIÓN</v>
      </c>
      <c r="F19" s="851">
        <f>IF(ISTEXT([26]IdentificaciónRiesgos!$B8),
IF(EXACT([26]AnálisisRiesgos!$B11,"X"),5,
IF(EXACT([26]AnálisisRiesgos!$C11,"X"),4,
IF(EXACT([26]AnálisisRiesgos!$D11,"X"),3,
IF(EXACT([26]AnálisisRiesgos!$E11,"X"),2,
IF(EXACT([26]AnálisisRiesgos!$F11,"X"),1,""))))),"")</f>
        <v>1</v>
      </c>
      <c r="G19" s="851" t="str">
        <f t="shared" ref="G19" si="2">IF(EXACT($F19,5),"Casí Seguro",
IF(EXACT($F19,4),"Probable",
IF(EXACT($F19,3),"Posible",
IF(EXACT($F19,2),"Improbable","Rara Vez"))))</f>
        <v>Rara Vez</v>
      </c>
      <c r="H19" s="852">
        <f>IF(EXACT($B19,""),"",
IF(EXACT($E19,"RIESGO DE GESTIÓN"),IF(EXACT([26]AnálisisRiesgos!$G11,"X"),5,
IF(EXACT([26]AnálisisRiesgos!$H11,"X"),4,
IF(EXACT([26]AnálisisRiesgos!$I11,"X"),3,
IF(EXACT([26]AnálisisRiesgos!$J11,"X"),2,1)))),
IF(EXACT([26]AnálisisRiesgos!$L11,"X"),20,
IF(EXACT([26]AnálisisRiesgos!$M11,"X"),10,5
))))</f>
        <v>10</v>
      </c>
      <c r="I19" s="852" t="str">
        <f t="shared" ref="I19" si="3">IF(EXACT($E19,"RIESGO DE GESTIÓN"),
IF(EXACT($H19,1),"Insignificante",
IF(EXACT($H19,2),"Menor",
IF(EXACT($H19,3),"Moderado",
IF(EXACT($H19,4),"Mayor","Catastrófico")))),
IF(EXACT($H19,5),"Moderado",
IF(EXACT($H19,10),"Mayor","Catastrófico")))</f>
        <v>Mayor</v>
      </c>
      <c r="J19" s="548" t="str">
        <f>CONCATENATE(X19,Y19,Z19,AA19,AB19)</f>
        <v xml:space="preserve">B    </v>
      </c>
      <c r="K19" s="729" t="s">
        <v>500</v>
      </c>
      <c r="L19" s="1067" t="s">
        <v>10</v>
      </c>
      <c r="M19" s="1068"/>
      <c r="N19" s="548" t="str">
        <f>CONCATENATE(AE19,AF19,AG19,AH19,AI19,AK19,AL19,AM19,AN19,AO19,AR19,AS19,AT19,AU19,AV19,AZ19,BA19,BB19,BC19,BD19,BG19,BH19,BI19,BJ19,BK19,BN19,BO19,BP19,BQ19,BR19)</f>
        <v xml:space="preserve">B                             </v>
      </c>
      <c r="O19" s="548"/>
      <c r="P19" s="855" t="s">
        <v>301</v>
      </c>
      <c r="Q19" s="867" t="s">
        <v>501</v>
      </c>
      <c r="R19" s="855" t="s">
        <v>502</v>
      </c>
      <c r="S19" s="857" t="s">
        <v>503</v>
      </c>
      <c r="T19" s="729" t="s">
        <v>504</v>
      </c>
      <c r="U19" s="855" t="s">
        <v>302</v>
      </c>
      <c r="V19" s="855" t="s">
        <v>303</v>
      </c>
      <c r="X19" s="409" t="str">
        <f>IF(AND(F19=1,H19=5),$H$25,IF(AND(F19=1,H19=10),$J$25,IF(AND(F19=1,H19=20),$K$25," ")))</f>
        <v>B</v>
      </c>
      <c r="Y19" s="409" t="str">
        <f>IF(AND(F19=2,H19=5),$H$26,IF(AND(F19=2,H19=10),$J$26,IF(AND(F19=2,H19=20),$K$26," ")))</f>
        <v xml:space="preserve"> </v>
      </c>
      <c r="Z19" s="409" t="str">
        <f>IF(AND(F19=3,H19=5),$H$27,IF(AND(F19=3,H19=10),$J$27,IF(AND(F19=3,H19=20),$K$27," ")))</f>
        <v xml:space="preserve"> </v>
      </c>
      <c r="AA19" s="409" t="str">
        <f>IF(AND(F19=4,H19=5),$H$28,IF(AND(F19=4,H19=10),$J$28,IF(AND(F19=4,H19=20),$K$28," ")))</f>
        <v xml:space="preserve"> </v>
      </c>
      <c r="AB19" s="409" t="str">
        <f>IF(AND(F19=5,H19=5),$H$29,IF(AND(F19=5,H19=10),$J$29,IF(AND(F19=5,H19=20),$K$29," ")))</f>
        <v xml:space="preserve"> </v>
      </c>
      <c r="AE19" s="409" t="str">
        <f>IF(AND(L19&gt;0,[25]EvaluaciónRiesgoCorrupR1!$F$11&gt;75,F19=1,H19=5),$H$25,IF(AND(L19&gt;0,[25]EvaluaciónRiesgoCorrupR1!$F$11&gt;75,F19=1,H19=10),$J$25,IF(AND(L19&gt;0,[25]EvaluaciónRiesgoCorrupR1!$F$11&gt;75,F19=1,H19=20),$K$25," ")))</f>
        <v>B</v>
      </c>
      <c r="AF19" s="409" t="str">
        <f>IF(AND(L19&gt;0,[25]EvaluaciónRiesgoCorrupR1!$F$11&gt;75,F19=2,H19=5),$H$25,IF(AND(L19&gt;0,[25]EvaluaciónRiesgoCorrupR1!$F$11&gt;75,F19=2,H19=10),$J$25,IF(AND(L19&gt;0,[25]EvaluaciónRiesgoCorrupR1!$F$11&gt;75,F19=2,H19=20),$K$25," ")))</f>
        <v xml:space="preserve"> </v>
      </c>
      <c r="AG19" s="409" t="str">
        <f>IF(AND(L19&gt;0,[25]EvaluaciónRiesgoCorrupR1!$F$11&gt;75,F19=3,H19=5),$H$25,IF(AND(L19&gt;0,[25]EvaluaciónRiesgoCorrupR1!$F$11&gt;75,F19=3,H19=10),$J$25,IF(AND(L19&gt;0,[25]EvaluaciónRiesgoCorrupR1!$F$11&gt;75,F19=3,H19=20),$K$25," ")))</f>
        <v xml:space="preserve"> </v>
      </c>
      <c r="AH19" s="409" t="str">
        <f>IF(AND(L19&gt;0,[25]EvaluaciónRiesgoCorrupR1!$F$11&gt;75,F19=4,H19=5),$H$26,IF(AND(L19&gt;0,[25]EvaluaciónRiesgoCorrupR1!$F$11&gt;75,F19=4,H19=10),$J$26,IF(AND(L19&gt;0,[25]EvaluaciónRiesgoCorrupR1!$F$11&gt;75,F19=4,H19=20),$K$26," ")))</f>
        <v xml:space="preserve"> </v>
      </c>
      <c r="AI19" s="409" t="str">
        <f>IF(AND(L19&gt;0,[25]EvaluaciónRiesgoCorrupR1!$F$11&gt;75,F19=5,H19=5),$H$27,IF(AND(L19&gt;0,[25]EvaluaciónRiesgoCorrupR1!$F$11&gt;75,F19=5,H19=10),$J$27,IF(AND(L19&gt;0,[25]EvaluaciónRiesgoCorrupR1!$F$11&gt;75,F19=5,H19=20),$K$27," ")))</f>
        <v xml:space="preserve"> </v>
      </c>
      <c r="AK19" s="409" t="str">
        <f>IF(AND(L19&gt;0,[25]EvaluaciónRiesgoCorrupR1!$F$11&gt;50,[25]EvaluaciónRiesgoCorrupR1!$F$11&lt;76,F19=1,H19=5),$H$25,IF(AND(L19&gt;0,[25]EvaluaciónRiesgoCorrupR1!$F$11&gt;50,[25]EvaluaciónRiesgoCorrupR1!$F$11&lt;76,F19=1,H19=10),$J$25,IF(AND(L19&gt;0,[25]EvaluaciónRiesgoCorrupR1!$F$11&gt;50,[25]EvaluaciónRiesgoCorrupR1!$F$11&lt;76,F19=1,H19=20),$K$25," ")))</f>
        <v xml:space="preserve"> </v>
      </c>
      <c r="AL19" s="409" t="str">
        <f>IF(AND(L19&gt;0,[25]EvaluaciónRiesgoCorrupR1!$F$11&gt;50,[25]EvaluaciónRiesgoCorrupR1!$F$11&lt;76,F19=2,H19=5),$H$25,IF(AND(L19&gt;0,[25]EvaluaciónRiesgoCorrupR1!$F$11&gt;50,[25]EvaluaciónRiesgoCorrupR1!$F$11&lt;76,F19=2,H19=10),$J$25,IF(AND(L19&gt;0,[25]EvaluaciónRiesgoCorrupR1!$F$11&gt;50,[25]EvaluaciónRiesgoCorrupR1!$F$11&lt;76,F19=2,H19=20),$K$25," ")))</f>
        <v xml:space="preserve"> </v>
      </c>
      <c r="AM19" s="409" t="str">
        <f>IF(AND(L19&gt;0,[25]EvaluaciónRiesgoCorrupR1!$F$11&gt;50,[25]EvaluaciónRiesgoCorrupR1!$F$11&lt;76,F19=3,H19=5),$H$26,IF(AND(L19&gt;0,[25]EvaluaciónRiesgoCorrupR1!$F$11&gt;50,[25]EvaluaciónRiesgoCorrupR1!$F$11&lt;76,F19=3,H19=10),$J$26,IF(AND(L19&gt;0,[25]EvaluaciónRiesgoCorrupR1!$F$11&gt;50,[25]EvaluaciónRiesgoCorrupR1!$F$11&lt;76,F19=3,H19=20),$K$26," ")))</f>
        <v xml:space="preserve"> </v>
      </c>
      <c r="AN19" s="409" t="str">
        <f>IF(AND(L19&gt;0,[25]EvaluaciónRiesgoCorrupR1!$F$11&gt;50,[25]EvaluaciónRiesgoCorrupR1!$F$11&lt;76,F19=4,H19=5),$H$27,IF(AND(L19&gt;0,[25]EvaluaciónRiesgoCorrupR1!$F$11&gt;50,[25]EvaluaciónRiesgoCorrupR1!$F$11&lt;76,F19=4,H19=10),$J$27,IF(AND(L19&gt;0,[25]EvaluaciónRiesgoCorrupR1!$F$11&gt;50,[25]EvaluaciónRiesgoCorrupR1!$F$11&lt;76,F19=4,H19=20),$K$27," ")))</f>
        <v xml:space="preserve"> </v>
      </c>
      <c r="AO19" s="409" t="str">
        <f>IF(AND(L19&gt;0,[25]EvaluaciónRiesgoCorrupR1!$F$11&gt;50,[25]EvaluaciónRiesgoCorrupR1!$F$11&lt;76,F19=5,H19=5),$H$28,IF(AND(L19&gt;0,[25]EvaluaciónRiesgoCorrupR1!$F$11&gt;50,[25]EvaluaciónRiesgoCorrupR1!$F$11&lt;76,F19=5,H19=10),$J$28,IF(AND(L19&gt;0,[25]EvaluaciónRiesgoCorrupR1!$F$11&gt;50,[25]EvaluaciónRiesgoCorrupR1!$F$11&lt;76,F19=5,H19=20),$K$28," ")))</f>
        <v xml:space="preserve"> </v>
      </c>
      <c r="AR19" s="409" t="str">
        <f>IF(AND(L19&gt;0,[25]EvaluaciónRiesgoCorrupR1!$F$11&lt;51,F19=1,H19=5),$H$25,IF(AND(L19&gt;0,[25]EvaluaciónRiesgoCorrupR1!$F$11&lt;51,F19=1,H19=10),$J$25,IF(AND(L19&gt;0,[25]EvaluaciónRiesgoCorrupR1!$F$11&lt;51,F19=1,H19=20),K$25," ")))</f>
        <v xml:space="preserve"> </v>
      </c>
      <c r="AS19" s="409" t="str">
        <f>IF(AND(L19&gt;0,[25]EvaluaciónRiesgoCorrupR1!$F$11&lt;51,F19=2,H19=5),$H$26,IF(AND(L19&gt;0,[25]EvaluaciónRiesgoCorrupR1!$F$11&lt;51,F19=2,H19=10),$J$26,IF(AND(L19&gt;0,[25]EvaluaciónRiesgoCorrupR1!$F$11&lt;51,F19=2,H19=20),K$26," ")))</f>
        <v xml:space="preserve"> </v>
      </c>
      <c r="AT19" s="409" t="str">
        <f>IF(AND(L19&gt;0,[25]EvaluaciónRiesgoCorrupR1!$F$11&lt;51,F19=3,H19=5),$H$27,IF(AND(L19&gt;0,[25]EvaluaciónRiesgoCorrupR1!$F$11&lt;51,F19=3,H19=10),$J$27,IF(AND(L19&gt;0,[25]EvaluaciónRiesgoCorrupR1!$F$11&lt;51,F19=3,H19=20),K$27," ")))</f>
        <v xml:space="preserve"> </v>
      </c>
      <c r="AU19" s="409" t="str">
        <f>IF(AND(L19&gt;0,[25]EvaluaciónRiesgoCorrupR1!$F$11&lt;51,F19=4,H19=5),$H$28,IF(AND(L19&gt;0,[25]EvaluaciónRiesgoCorrupR1!$F$11&lt;51,F19=4,H19=10),$J$28,IF(AND(L19&gt;0,[25]EvaluaciónRiesgoCorrupR1!$F$11&lt;51,F19=4,H19=20),K$28," ")))</f>
        <v xml:space="preserve"> </v>
      </c>
      <c r="AV19" s="409" t="str">
        <f>IF(AND(L19&gt;0,[25]EvaluaciónRiesgoCorrupR1!$F$11&lt;51,F19=5,H19=5),$H$29,IF(AND(L19&gt;0,[25]EvaluaciónRiesgoCorrupR1!$F$11&lt;51,F19=5,H19=10),$J$29,IF(AND(L19&gt;0,[25]EvaluaciónRiesgoCorrupR1!$F$11&lt;51,F19=5,H19=20),K$29," ")))</f>
        <v xml:space="preserve"> </v>
      </c>
      <c r="AZ19" s="409" t="str">
        <f>IF(AND(M19&gt;0,[25]EvaluaciónRiesgoCorrupR1!$F$11&gt;75,F19=1,H19=5),$H$25,IF(AND(M19&gt;0,[25]EvaluaciónRiesgoCorrupR1!$F$11&gt;75,F19=1,H19=10),$H$25,IF(AND(M19&gt;0,[25]EvaluaciónRiesgoCorrupR1!$F$11&gt;75,F19=1,H19=20),$H$25," ")))</f>
        <v xml:space="preserve"> </v>
      </c>
      <c r="BA19" s="409" t="str">
        <f>IF(AND(M19&gt;0,[25]EvaluaciónRiesgoCorrupR1!$F$11&gt;75,F19=2,H19=5),$H$26,IF(AND(M19&gt;0,[25]EvaluaciónRiesgoCorrupR1!$F$11&gt;75,F19=2,H19=10),$H$26,IF(AND(M19&gt;0,[25]EvaluaciónRiesgoCorrupR1!$F$11&gt;75,F19=2,H19=20),$H$26," ")))</f>
        <v xml:space="preserve"> </v>
      </c>
      <c r="BB19" s="409" t="str">
        <f>IF(AND(M19&gt;0,[25]EvaluaciónRiesgoCorrupR1!$F$11&gt;75,F19=3,H19=5),$H$27,IF(AND(M19&gt;0,[25]EvaluaciónRiesgoCorrupR1!$F$11&gt;75,F19=3,H19=10),$H$27,IF(AND(M19&gt;0,[25]EvaluaciónRiesgoCorrupR1!$F$11&gt;75,F19=3,H19=20),$H$27," ")))</f>
        <v xml:space="preserve"> </v>
      </c>
      <c r="BC19" s="409" t="str">
        <f>IF(AND(M19&gt;0,[25]EvaluaciónRiesgoCorrupR1!$F$11&gt;75,F19=4,H19=5),$H$28,IF(AND(M19&gt;0,[25]EvaluaciónRiesgoCorrupR1!$F$11&gt;75,F19=4,H19=10),$H$28,IF(AND(M19&gt;0,[25]EvaluaciónRiesgoCorrupR1!$F$11&gt;75,F19=4,H19=20),$H$28," ")))</f>
        <v xml:space="preserve"> </v>
      </c>
      <c r="BD19" s="409" t="str">
        <f>IF(AND(M19&gt;0,[25]EvaluaciónRiesgoCorrupR1!$F$11&gt;75,F19=5,H19=5),$H$29,IF(AND(M19&gt;0,[25]EvaluaciónRiesgoCorrupR1!$F$11&gt;75,F19=5,H19=10),$H$29,IF(AND(M19&gt;0,[25]EvaluaciónRiesgoCorrupR1!$F$11&gt;75,F19=5,H19=20),$H$29," ")))</f>
        <v xml:space="preserve"> </v>
      </c>
      <c r="BG19" s="409" t="str">
        <f>IF(AND(M19&gt;0,[25]EvaluaciónRiesgoCorrupR1!$F$11&gt;50,[25]EvaluaciónRiesgoCorrupR1!$F$11&lt;76,F19=1,H19=5),$H$25,IF(AND(M19&gt;0,[25]EvaluaciónRiesgoCorrupR1!$F$11&gt;50,[25]EvaluaciónRiesgoCorrupR1!$F$11&lt;76,F19=1,H19=10),$H$25,IF(AND(M19&gt;0,[25]EvaluaciónRiesgoCorrupR1!$F$11&gt;50,[25]EvaluaciónRiesgoCorrupR1!$F$11&lt;76,F19=1,H19=20),$J$25," ")))</f>
        <v xml:space="preserve"> </v>
      </c>
      <c r="BH19" s="409" t="str">
        <f>IF(AND(M19&gt;0,[25]EvaluaciónRiesgoCorrupR1!$F$11&gt;50,[25]EvaluaciónRiesgoCorrupR1!$F$11&lt;76,F19=2,H19=5),$H$26,IF(AND(M19&gt;0,[25]EvaluaciónRiesgoCorrupR1!$F$11&gt;50,[25]EvaluaciónRiesgoCorrupR1!$F$11&lt;76,F19=2,H19=10),$H$26,IF(AND(M19&gt;0,[25]EvaluaciónRiesgoCorrupR1!$F$11&gt;50,[25]EvaluaciónRiesgoCorrupR1!$F$11&lt;76,F19=2,H19=20),$J$26," ")))</f>
        <v xml:space="preserve"> </v>
      </c>
      <c r="BI19" s="409" t="str">
        <f>IF(AND(M19&gt;0,[25]EvaluaciónRiesgoCorrupR1!$F$11&gt;50,[25]EvaluaciónRiesgoCorrupR1!$F$11&lt;76,F19=3,H19=5),$H$27,IF(AND(M19&gt;0,[25]EvaluaciónRiesgoCorrupR1!$F$11&gt;50,[25]EvaluaciónRiesgoCorrupR1!$F$11&lt;76,F19=3,H19=10),$H$27,IF(AND(M19&gt;0,[25]EvaluaciónRiesgoCorrupR1!$F$11&gt;50,[25]EvaluaciónRiesgoCorrupR1!$F$11&lt;76,F19=3,H19=20),$J$27," ")))</f>
        <v xml:space="preserve"> </v>
      </c>
      <c r="BJ19" s="409" t="str">
        <f>IF(AND(M19&gt;0,[25]EvaluaciónRiesgoCorrupR1!$F$11&gt;50,[25]EvaluaciónRiesgoCorrupR1!$F$11&lt;76,F19=4,H19=5),$H$28,IF(AND(M19&gt;0,[25]EvaluaciónRiesgoCorrupR1!$F$11&gt;50,[25]EvaluaciónRiesgoCorrupR1!$F$11&lt;76,F19=4,H19=10),$H$28,IF(AND(M19&gt;0,[25]EvaluaciónRiesgoCorrupR1!$F$11&gt;50,[25]EvaluaciónRiesgoCorrupR1!$F$11&lt;76,F19=4,H19=20),$J$28," ")))</f>
        <v xml:space="preserve"> </v>
      </c>
      <c r="BK19" s="409" t="str">
        <f>IF(AND(M19&gt;0,[25]EvaluaciónRiesgoCorrupR1!$F$11&gt;50,[25]EvaluaciónRiesgoCorrupR1!$F$11&lt;76,F19=5,H19=5),$H$29,IF(AND(M19&gt;0,[25]EvaluaciónRiesgoCorrupR1!$F$11&gt;50,[25]EvaluaciónRiesgoCorrupR1!$F$11&lt;76,F19=5,H19=10),$H$29,IF(AND(M19&gt;0,[25]EvaluaciónRiesgoCorrupR1!$F$11&gt;50,[25]EvaluaciónRiesgoCorrupR1!$F$11&lt;76,F19=5,H19=20),$J$29," ")))</f>
        <v xml:space="preserve"> </v>
      </c>
      <c r="BN19" s="409" t="str">
        <f>IF(AND(M19&gt;0,[25]EvaluaciónRiesgoCorrupR1!$F$11&lt;51,F19=1,H19=5),$H$25,IF(AND(M19&gt;0,[25]EvaluaciónRiesgoCorrupR1!$F$11&lt;51,F19=1,H19=10),$J$25,IF(AND(M19&gt;0,[25]EvaluaciónRiesgoCorrupR1!$F$11&lt;51,F19=1,H19=20),$K$25," ")))</f>
        <v xml:space="preserve"> </v>
      </c>
      <c r="BO19" s="409" t="str">
        <f>IF(AND(M19&gt;0,[25]EvaluaciónRiesgoCorrupR1!$F$11&lt;51,F19=2,H19=5),$H$26,IF(AND(M19&gt;0,[25]EvaluaciónRiesgoCorrupR1!$F$11&lt;51,F19=2,H19=10),$J$26,IF(AND(M19&gt;0,[25]EvaluaciónRiesgoCorrupR1!$F$11&lt;51,F19=2,H19=20),$K$26," ")))</f>
        <v xml:space="preserve"> </v>
      </c>
      <c r="BP19" s="409" t="str">
        <f>IF(AND(M19&gt;0,[25]EvaluaciónRiesgoCorrupR1!$F$11&lt;51,F19=3,H19=5),$H$27,IF(AND(M19&gt;0,[25]EvaluaciónRiesgoCorrupR1!$F$11&lt;51,F19=3,H19=10),$J$27,IF(AND(M19&gt;0,[25]EvaluaciónRiesgoCorrupR1!$F$11&lt;51,F19=3,H19=20),$K$27," ")))</f>
        <v xml:space="preserve"> </v>
      </c>
      <c r="BQ19" s="409" t="str">
        <f>IF(AND(M19&gt;0,[25]EvaluaciónRiesgoCorrupR1!$F$11&lt;51,F19=4,H19=5),$H$28,IF(AND(M19&gt;0,[25]EvaluaciónRiesgoCorrupR1!$F$11&lt;51,F19=4,H19=10),$J$28,IF(AND(M19&gt;0,[25]EvaluaciónRiesgoCorrupR1!$F$11&lt;51,F19=4,H19=20),$K$28," ")))</f>
        <v xml:space="preserve"> </v>
      </c>
      <c r="BR19" s="409" t="str">
        <f>IF(AND(M19&gt;0,[25]EvaluaciónRiesgoCorrupR1!$F$11&lt;51,F19=5,H19=5),$H$29,IF(AND(M19&gt;0,[25]EvaluaciónRiesgoCorrupR1!$F$11&lt;51,F19=5,H19=10),$J$29,IF(AND(M19&gt;0,[25]EvaluaciónRiesgoCorrupR1!$F$11&lt;51,F19=5,H19=20),$K$29," ")))</f>
        <v xml:space="preserve"> </v>
      </c>
    </row>
    <row r="20" spans="1:70" ht="27" customHeight="1" x14ac:dyDescent="0.35">
      <c r="A20" s="944"/>
      <c r="B20" s="408"/>
      <c r="C20" s="408"/>
      <c r="D20" s="408"/>
      <c r="E20" s="99"/>
    </row>
    <row r="21" spans="1:70" x14ac:dyDescent="0.35">
      <c r="A21" s="409"/>
      <c r="B21" s="410"/>
      <c r="C21" s="410"/>
      <c r="D21" s="410"/>
      <c r="E21" s="423"/>
    </row>
    <row r="22" spans="1:70" ht="14.5" thickBot="1" x14ac:dyDescent="0.4">
      <c r="A22" s="409"/>
      <c r="B22" s="410"/>
      <c r="C22" s="410"/>
      <c r="D22" s="410"/>
      <c r="E22" s="423"/>
      <c r="H22" s="424"/>
      <c r="I22" s="424"/>
      <c r="J22" s="424"/>
    </row>
    <row r="23" spans="1:70" ht="14.5" thickBot="1" x14ac:dyDescent="0.4">
      <c r="A23" s="6"/>
      <c r="B23" s="423"/>
      <c r="C23" s="423"/>
      <c r="D23" s="423"/>
      <c r="E23" s="423"/>
      <c r="F23" s="1019" t="s">
        <v>26</v>
      </c>
      <c r="G23" s="84"/>
      <c r="H23" s="1021" t="s">
        <v>10</v>
      </c>
      <c r="I23" s="1021"/>
      <c r="J23" s="1021"/>
      <c r="K23" s="1022"/>
      <c r="L23" s="399"/>
      <c r="Q23" s="402"/>
      <c r="S23" s="399"/>
    </row>
    <row r="24" spans="1:70" ht="32.25" customHeight="1" thickBot="1" x14ac:dyDescent="0.4">
      <c r="A24" s="402"/>
      <c r="B24" s="411" t="s">
        <v>42</v>
      </c>
      <c r="C24" s="411"/>
      <c r="D24" s="411"/>
      <c r="E24" s="411"/>
      <c r="F24" s="1020"/>
      <c r="G24" s="939"/>
      <c r="H24" s="412" t="s">
        <v>43</v>
      </c>
      <c r="I24" s="412"/>
      <c r="J24" s="36" t="s">
        <v>44</v>
      </c>
      <c r="K24" s="412" t="s">
        <v>45</v>
      </c>
      <c r="L24" s="399"/>
      <c r="Q24" s="402"/>
      <c r="S24" s="399"/>
    </row>
    <row r="25" spans="1:70" ht="14.5" thickBot="1" x14ac:dyDescent="0.4">
      <c r="B25" s="402" t="s">
        <v>46</v>
      </c>
      <c r="C25" s="402"/>
      <c r="F25" s="413" t="s">
        <v>47</v>
      </c>
      <c r="G25" s="413"/>
      <c r="H25" s="414" t="s">
        <v>48</v>
      </c>
      <c r="I25" s="414"/>
      <c r="J25" s="414" t="s">
        <v>48</v>
      </c>
      <c r="K25" s="415" t="s">
        <v>49</v>
      </c>
      <c r="L25" s="399"/>
      <c r="Q25" s="402"/>
      <c r="S25" s="399"/>
    </row>
    <row r="26" spans="1:70" ht="14.5" thickBot="1" x14ac:dyDescent="0.4">
      <c r="F26" s="413" t="s">
        <v>50</v>
      </c>
      <c r="G26" s="413"/>
      <c r="H26" s="414" t="s">
        <v>48</v>
      </c>
      <c r="I26" s="414"/>
      <c r="J26" s="415" t="s">
        <v>49</v>
      </c>
      <c r="K26" s="40" t="s">
        <v>51</v>
      </c>
      <c r="L26" s="399"/>
      <c r="Q26" s="402"/>
      <c r="S26" s="399"/>
    </row>
    <row r="27" spans="1:70" ht="14.5" thickBot="1" x14ac:dyDescent="0.4">
      <c r="F27" s="413" t="s">
        <v>52</v>
      </c>
      <c r="G27" s="413"/>
      <c r="H27" s="415" t="s">
        <v>49</v>
      </c>
      <c r="I27" s="415"/>
      <c r="J27" s="40" t="s">
        <v>51</v>
      </c>
      <c r="K27" s="41" t="s">
        <v>53</v>
      </c>
      <c r="L27" s="399"/>
      <c r="Q27" s="402"/>
      <c r="S27" s="399"/>
    </row>
    <row r="28" spans="1:70" ht="14.5" thickBot="1" x14ac:dyDescent="0.4">
      <c r="F28" s="413" t="s">
        <v>54</v>
      </c>
      <c r="G28" s="413"/>
      <c r="H28" s="415" t="s">
        <v>49</v>
      </c>
      <c r="I28" s="415"/>
      <c r="J28" s="40" t="s">
        <v>51</v>
      </c>
      <c r="K28" s="41" t="s">
        <v>53</v>
      </c>
      <c r="L28" s="399"/>
      <c r="Q28" s="402"/>
      <c r="S28" s="399"/>
    </row>
    <row r="29" spans="1:70" ht="14.5" thickBot="1" x14ac:dyDescent="0.4">
      <c r="F29" s="413" t="s">
        <v>55</v>
      </c>
      <c r="G29" s="413"/>
      <c r="H29" s="415" t="s">
        <v>49</v>
      </c>
      <c r="I29" s="415"/>
      <c r="J29" s="40" t="s">
        <v>51</v>
      </c>
      <c r="K29" s="41" t="s">
        <v>53</v>
      </c>
      <c r="L29" s="399"/>
      <c r="Q29" s="402"/>
      <c r="S29" s="399"/>
    </row>
    <row r="30" spans="1:70" x14ac:dyDescent="0.35">
      <c r="F30" s="399"/>
      <c r="G30" s="399"/>
      <c r="H30" s="399"/>
      <c r="I30" s="399"/>
      <c r="J30" s="399"/>
      <c r="K30" s="402"/>
      <c r="M30" s="402"/>
    </row>
    <row r="31" spans="1:70" x14ac:dyDescent="0.35">
      <c r="F31" s="416" t="s">
        <v>56</v>
      </c>
      <c r="G31" s="416"/>
      <c r="H31" s="399"/>
      <c r="I31" s="399"/>
      <c r="J31" s="399"/>
      <c r="K31" s="402"/>
      <c r="M31" s="402"/>
      <c r="N31" s="402"/>
      <c r="O31" s="402"/>
      <c r="P31" s="402"/>
    </row>
    <row r="32" spans="1:70" x14ac:dyDescent="0.35">
      <c r="F32" s="417" t="s">
        <v>57</v>
      </c>
      <c r="G32" s="417"/>
      <c r="H32" s="399"/>
      <c r="I32" s="399"/>
      <c r="J32" s="399"/>
      <c r="K32" s="402"/>
      <c r="M32" s="402"/>
      <c r="N32" s="402"/>
      <c r="O32" s="402"/>
      <c r="P32" s="402"/>
    </row>
    <row r="33" spans="6:16" x14ac:dyDescent="0.35">
      <c r="F33" s="418" t="s">
        <v>58</v>
      </c>
      <c r="G33" s="418"/>
      <c r="H33" s="399"/>
      <c r="I33" s="399"/>
      <c r="J33" s="399"/>
      <c r="K33" s="402"/>
      <c r="M33" s="402"/>
      <c r="N33" s="402"/>
      <c r="O33" s="402"/>
      <c r="P33" s="402"/>
    </row>
    <row r="34" spans="6:16" x14ac:dyDescent="0.35">
      <c r="F34" s="419" t="s">
        <v>59</v>
      </c>
      <c r="G34" s="419"/>
      <c r="H34" s="399"/>
      <c r="I34" s="399"/>
      <c r="J34" s="399"/>
      <c r="K34" s="402"/>
      <c r="M34" s="402"/>
      <c r="N34" s="402"/>
      <c r="O34" s="402"/>
      <c r="P34" s="402"/>
    </row>
  </sheetData>
  <mergeCells count="37">
    <mergeCell ref="A1:D4"/>
    <mergeCell ref="F1:T4"/>
    <mergeCell ref="U1:V1"/>
    <mergeCell ref="U2:V2"/>
    <mergeCell ref="U3:V3"/>
    <mergeCell ref="U4:V4"/>
    <mergeCell ref="A6:D6"/>
    <mergeCell ref="F6:V6"/>
    <mergeCell ref="A8:D8"/>
    <mergeCell ref="F8:V8"/>
    <mergeCell ref="A10:D10"/>
    <mergeCell ref="F10:V10"/>
    <mergeCell ref="AG13:AY13"/>
    <mergeCell ref="BA13:BT13"/>
    <mergeCell ref="A14:D14"/>
    <mergeCell ref="F14:H14"/>
    <mergeCell ref="K14:K16"/>
    <mergeCell ref="L14:N14"/>
    <mergeCell ref="P14:R14"/>
    <mergeCell ref="S14:V14"/>
    <mergeCell ref="U15:U16"/>
    <mergeCell ref="V15:V16"/>
    <mergeCell ref="P15:R15"/>
    <mergeCell ref="A15:A16"/>
    <mergeCell ref="B15:B16"/>
    <mergeCell ref="D15:D16"/>
    <mergeCell ref="L19:M19"/>
    <mergeCell ref="F23:F24"/>
    <mergeCell ref="H23:K23"/>
    <mergeCell ref="A12:D12"/>
    <mergeCell ref="F12:V12"/>
    <mergeCell ref="S15:S16"/>
    <mergeCell ref="T15:T16"/>
    <mergeCell ref="L17:M17"/>
    <mergeCell ref="L18:M18"/>
    <mergeCell ref="F15:H15"/>
    <mergeCell ref="L15:N15"/>
  </mergeCells>
  <conditionalFormatting sqref="J18:J19 N18:O19">
    <cfRule type="containsText" dxfId="15" priority="5" operator="containsText" text="E">
      <formula>NOT(ISERROR(SEARCH("E",J18)))</formula>
    </cfRule>
    <cfRule type="containsText" dxfId="14" priority="6" operator="containsText" text="M">
      <formula>NOT(ISERROR(SEARCH("M",J18)))</formula>
    </cfRule>
    <cfRule type="containsText" dxfId="13" priority="7" operator="containsText" text="A">
      <formula>NOT(ISERROR(SEARCH("A",J18)))</formula>
    </cfRule>
    <cfRule type="containsText" dxfId="12" priority="8" operator="containsText" text="B">
      <formula>NOT(ISERROR(SEARCH("B",J18)))</formula>
    </cfRule>
  </conditionalFormatting>
  <conditionalFormatting sqref="J17 N17">
    <cfRule type="containsText" dxfId="11" priority="1" operator="containsText" text="E">
      <formula>NOT(ISERROR(SEARCH("E",J17)))</formula>
    </cfRule>
    <cfRule type="containsText" dxfId="10" priority="2" operator="containsText" text="M">
      <formula>NOT(ISERROR(SEARCH("M",J17)))</formula>
    </cfRule>
    <cfRule type="containsText" dxfId="9" priority="3" operator="containsText" text="A">
      <formula>NOT(ISERROR(SEARCH("A",J17)))</formula>
    </cfRule>
    <cfRule type="containsText" dxfId="8" priority="4" operator="containsText" text="B">
      <formula>NOT(ISERROR(SEARCH("B",J17)))</formula>
    </cfRule>
  </conditionalFormatting>
  <dataValidations count="3">
    <dataValidation type="list" allowBlank="1" showInputMessage="1" showErrorMessage="1" promptTitle="AFECTA A:" prompt="Seleccione según a quien afecte el control" sqref="L19:M19 L17:M17">
      <formula1>$XFD$2:$XFD$3</formula1>
    </dataValidation>
    <dataValidation type="list" allowBlank="1" showInputMessage="1" showErrorMessage="1" sqref="P20:Q20">
      <formula1>$J$31:$J$34</formula1>
    </dataValidation>
    <dataValidation type="list" allowBlank="1" showInputMessage="1" showErrorMessage="1" sqref="L20:O20">
      <formula1>#REF!</formula1>
    </dataValidation>
  </dataValidations>
  <pageMargins left="0.7" right="0.7" top="0.75" bottom="0.75" header="0.3" footer="0.3"/>
  <pageSetup scale="1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4"/>
  <sheetViews>
    <sheetView showGridLines="0" view="pageBreakPreview" topLeftCell="E1" zoomScale="60" zoomScaleNormal="70" workbookViewId="0">
      <selection activeCell="U2" sqref="U2:V2"/>
    </sheetView>
  </sheetViews>
  <sheetFormatPr baseColWidth="10" defaultColWidth="11.453125" defaultRowHeight="14" x14ac:dyDescent="0.35"/>
  <cols>
    <col min="1" max="1" width="41.26953125" style="2" customWidth="1"/>
    <col min="2" max="2" width="40.453125" style="2" customWidth="1"/>
    <col min="3" max="3" width="40.453125" style="399" customWidth="1"/>
    <col min="4" max="4" width="40.453125" style="2" customWidth="1"/>
    <col min="5" max="5" width="40.453125" style="399" customWidth="1"/>
    <col min="6" max="6" width="27" style="5" customWidth="1"/>
    <col min="7" max="7" width="27" style="402" customWidth="1"/>
    <col min="8" max="8" width="19" style="5" customWidth="1"/>
    <col min="9" max="9" width="19" style="402" customWidth="1"/>
    <col min="10" max="10" width="26.7265625" style="5" customWidth="1"/>
    <col min="11" max="11" width="29.7265625" style="2" customWidth="1"/>
    <col min="12" max="12" width="17.7265625" style="5" customWidth="1"/>
    <col min="13" max="13" width="18.54296875" style="2" customWidth="1"/>
    <col min="14" max="14" width="21.7265625" style="2" customWidth="1"/>
    <col min="15" max="15" width="21.7265625" style="399" customWidth="1"/>
    <col min="16" max="16" width="19.81640625" style="2" customWidth="1"/>
    <col min="17" max="17" width="93.81640625" style="2" customWidth="1"/>
    <col min="18" max="18" width="32.81640625" style="2" customWidth="1"/>
    <col min="19" max="19" width="36.453125" style="5" customWidth="1"/>
    <col min="20" max="20" width="58.453125" style="2" customWidth="1"/>
    <col min="21" max="21" width="30.453125" style="2" customWidth="1"/>
    <col min="22" max="22" width="97.1796875" style="2" customWidth="1"/>
    <col min="23" max="23" width="30.453125" style="2" customWidth="1"/>
    <col min="24" max="24" width="36" style="2" hidden="1" customWidth="1"/>
    <col min="25" max="25" width="0" style="2" hidden="1" customWidth="1"/>
    <col min="26" max="72" width="11.453125" style="2" hidden="1" customWidth="1"/>
    <col min="73" max="73" width="11.453125" style="2" customWidth="1"/>
    <col min="74" max="16384" width="11.453125" style="2"/>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60" t="s">
        <v>372</v>
      </c>
      <c r="V2" s="1061"/>
      <c r="W2" s="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60" t="s">
        <v>373</v>
      </c>
      <c r="V3" s="1061"/>
      <c r="W3" s="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3"/>
      <c r="C5" s="400"/>
      <c r="D5" s="3"/>
      <c r="E5" s="400"/>
      <c r="F5" s="4"/>
      <c r="G5" s="401"/>
      <c r="H5" s="4"/>
      <c r="I5" s="401"/>
      <c r="J5" s="4"/>
      <c r="K5" s="4"/>
      <c r="L5" s="4"/>
      <c r="M5" s="4"/>
      <c r="N5" s="4"/>
      <c r="O5" s="401"/>
      <c r="P5" s="4"/>
      <c r="Q5" s="4"/>
      <c r="W5" s="6"/>
      <c r="X5" s="6"/>
    </row>
    <row r="6" spans="1:72" x14ac:dyDescent="0.35">
      <c r="A6" s="1030" t="s">
        <v>3</v>
      </c>
      <c r="B6" s="1030"/>
      <c r="C6" s="1030"/>
      <c r="D6" s="1030"/>
      <c r="E6" s="82"/>
      <c r="F6" s="1044" t="str">
        <f>[25]IdentRiesgo!B2</f>
        <v>Gestión de Control Disciplinario Interno</v>
      </c>
      <c r="G6" s="1045"/>
      <c r="H6" s="1045"/>
      <c r="I6" s="1045"/>
      <c r="J6" s="1045"/>
      <c r="K6" s="1045"/>
      <c r="L6" s="1045"/>
      <c r="M6" s="1045"/>
      <c r="N6" s="1045"/>
      <c r="O6" s="1045"/>
      <c r="P6" s="1045"/>
      <c r="Q6" s="1045"/>
      <c r="R6" s="1045"/>
      <c r="S6" s="1045"/>
      <c r="T6" s="1045"/>
      <c r="U6" s="1045"/>
      <c r="V6" s="1046"/>
      <c r="W6" s="6"/>
      <c r="X6" s="6"/>
    </row>
    <row r="7" spans="1:72" ht="6.75" customHeight="1" x14ac:dyDescent="0.35">
      <c r="B7" s="3"/>
      <c r="C7" s="400"/>
      <c r="D7" s="3"/>
      <c r="E7" s="400"/>
      <c r="F7" s="7"/>
      <c r="G7" s="405"/>
      <c r="H7" s="7"/>
      <c r="I7" s="405"/>
      <c r="J7" s="7"/>
      <c r="K7" s="7"/>
      <c r="L7" s="7"/>
      <c r="M7" s="7"/>
      <c r="N7" s="7"/>
      <c r="O7" s="405"/>
      <c r="P7" s="7"/>
      <c r="Q7" s="7"/>
      <c r="R7" s="8"/>
      <c r="S7" s="8"/>
      <c r="T7" s="8"/>
      <c r="U7" s="8"/>
      <c r="V7" s="8"/>
      <c r="W7" s="6"/>
      <c r="X7" s="6"/>
    </row>
    <row r="8" spans="1:72" ht="39.75" customHeight="1" x14ac:dyDescent="0.35">
      <c r="A8" s="1030" t="s">
        <v>4</v>
      </c>
      <c r="B8" s="1030"/>
      <c r="C8" s="1030"/>
      <c r="D8" s="1030"/>
      <c r="E8" s="82"/>
      <c r="F8" s="1047" t="str">
        <f>[25]IdentRiesgo!B3</f>
        <v>Investigar y fallar sobre presuntas conductas de los servidores públicos del Instituto de conformidad con las disposiciones establecidas en el Código Disciplinario Único y normas concordantes</v>
      </c>
      <c r="G8" s="1048"/>
      <c r="H8" s="1048"/>
      <c r="I8" s="1048"/>
      <c r="J8" s="1048"/>
      <c r="K8" s="1048"/>
      <c r="L8" s="1048"/>
      <c r="M8" s="1048"/>
      <c r="N8" s="1048"/>
      <c r="O8" s="1048"/>
      <c r="P8" s="1048"/>
      <c r="Q8" s="1048"/>
      <c r="R8" s="1048"/>
      <c r="S8" s="1048"/>
      <c r="T8" s="1048"/>
      <c r="U8" s="1048"/>
      <c r="V8" s="1049"/>
      <c r="W8" s="9"/>
      <c r="X8" s="9"/>
    </row>
    <row r="9" spans="1:72" ht="6.75" customHeight="1" x14ac:dyDescent="0.35">
      <c r="B9" s="10"/>
      <c r="C9" s="403"/>
      <c r="D9" s="10"/>
      <c r="E9" s="403"/>
      <c r="F9" s="11"/>
      <c r="G9" s="406"/>
      <c r="H9" s="11"/>
      <c r="I9" s="406"/>
      <c r="J9" s="11"/>
      <c r="K9" s="11"/>
      <c r="L9" s="11"/>
      <c r="M9" s="11"/>
      <c r="N9" s="11"/>
      <c r="O9" s="406"/>
      <c r="P9" s="11"/>
      <c r="Q9" s="11"/>
      <c r="R9" s="8"/>
      <c r="S9" s="8"/>
      <c r="T9" s="8"/>
      <c r="U9" s="8"/>
      <c r="V9" s="8"/>
      <c r="W9" s="6"/>
      <c r="X9" s="6"/>
    </row>
    <row r="10" spans="1:72" x14ac:dyDescent="0.35">
      <c r="A10" s="1030" t="s">
        <v>5</v>
      </c>
      <c r="B10" s="1030"/>
      <c r="C10" s="1030"/>
      <c r="D10" s="1030"/>
      <c r="E10" s="82"/>
      <c r="F10" s="1031" t="s">
        <v>72</v>
      </c>
      <c r="G10" s="1032"/>
      <c r="H10" s="1032"/>
      <c r="I10" s="1032"/>
      <c r="J10" s="1032"/>
      <c r="K10" s="1032"/>
      <c r="L10" s="1032"/>
      <c r="M10" s="1032"/>
      <c r="N10" s="1032"/>
      <c r="O10" s="1032"/>
      <c r="P10" s="1032"/>
      <c r="Q10" s="1032"/>
      <c r="R10" s="1032"/>
      <c r="S10" s="1032"/>
      <c r="T10" s="1032"/>
      <c r="U10" s="1032"/>
      <c r="V10" s="1033"/>
      <c r="W10" s="12"/>
      <c r="X10" s="12"/>
    </row>
    <row r="11" spans="1:72" ht="5.25" customHeight="1" x14ac:dyDescent="0.35">
      <c r="B11" s="3"/>
      <c r="C11" s="400"/>
      <c r="D11" s="3"/>
      <c r="E11" s="400"/>
      <c r="F11" s="13"/>
      <c r="G11" s="425"/>
      <c r="H11" s="13"/>
      <c r="I11" s="425"/>
      <c r="J11" s="13"/>
      <c r="K11" s="13"/>
      <c r="L11" s="13"/>
      <c r="M11" s="13"/>
      <c r="N11" s="13"/>
      <c r="O11" s="425"/>
      <c r="P11" s="13"/>
      <c r="Q11" s="13"/>
      <c r="R11" s="8"/>
      <c r="S11" s="8"/>
      <c r="T11" s="8"/>
      <c r="U11" s="8"/>
      <c r="V11" s="8"/>
      <c r="W11" s="6"/>
      <c r="X11" s="6"/>
    </row>
    <row r="12" spans="1:72" x14ac:dyDescent="0.35">
      <c r="A12" s="1030" t="s">
        <v>6</v>
      </c>
      <c r="B12" s="1030"/>
      <c r="C12" s="1030"/>
      <c r="D12" s="1030"/>
      <c r="E12" s="82"/>
      <c r="F12" s="1031" t="s">
        <v>92</v>
      </c>
      <c r="G12" s="1032"/>
      <c r="H12" s="1032"/>
      <c r="I12" s="1032"/>
      <c r="J12" s="1032"/>
      <c r="K12" s="1032"/>
      <c r="L12" s="1032"/>
      <c r="M12" s="1032"/>
      <c r="N12" s="1032"/>
      <c r="O12" s="1032"/>
      <c r="P12" s="1032"/>
      <c r="Q12" s="1032"/>
      <c r="R12" s="1032"/>
      <c r="S12" s="1032"/>
      <c r="T12" s="1032"/>
      <c r="U12" s="1032"/>
      <c r="V12" s="1033"/>
      <c r="W12" s="12"/>
      <c r="X12" s="12"/>
      <c r="AA12" s="2" t="s">
        <v>7</v>
      </c>
    </row>
    <row r="13" spans="1:72" ht="14.5" thickBot="1" x14ac:dyDescent="0.4">
      <c r="B13" s="3"/>
      <c r="C13" s="400"/>
      <c r="D13" s="3"/>
      <c r="E13" s="400"/>
      <c r="F13" s="14"/>
      <c r="G13" s="407"/>
      <c r="H13" s="15"/>
      <c r="I13" s="404"/>
      <c r="J13" s="15"/>
      <c r="K13" s="7"/>
      <c r="L13" s="15"/>
      <c r="M13" s="7"/>
      <c r="N13" s="7"/>
      <c r="O13" s="405"/>
      <c r="P13" s="7"/>
      <c r="Q13" s="7"/>
      <c r="R13" s="7"/>
      <c r="S13" s="15"/>
      <c r="T13" s="7"/>
      <c r="W13" s="6"/>
      <c r="X13" s="6"/>
      <c r="AA13" s="2"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420"/>
      <c r="J14" s="16"/>
      <c r="K14" s="1039" t="s">
        <v>13</v>
      </c>
      <c r="L14" s="1035" t="s">
        <v>14</v>
      </c>
      <c r="M14" s="1036"/>
      <c r="N14" s="1037"/>
      <c r="O14" s="426"/>
      <c r="P14" s="1042" t="s">
        <v>15</v>
      </c>
      <c r="Q14" s="1042"/>
      <c r="R14" s="1042"/>
      <c r="S14" s="1042" t="s">
        <v>16</v>
      </c>
      <c r="T14" s="1042"/>
      <c r="U14" s="1042"/>
      <c r="V14" s="1042"/>
    </row>
    <row r="15" spans="1:72" s="17" customFormat="1" ht="14.25" customHeight="1" x14ac:dyDescent="0.35">
      <c r="A15" s="1040" t="s">
        <v>17</v>
      </c>
      <c r="B15" s="1040" t="s">
        <v>18</v>
      </c>
      <c r="C15" s="427"/>
      <c r="D15" s="1040" t="s">
        <v>19</v>
      </c>
      <c r="E15" s="427"/>
      <c r="F15" s="1018" t="s">
        <v>20</v>
      </c>
      <c r="G15" s="1018"/>
      <c r="H15" s="1018"/>
      <c r="I15" s="421"/>
      <c r="J15" s="18"/>
      <c r="K15" s="1040"/>
      <c r="L15" s="1023" t="s">
        <v>21</v>
      </c>
      <c r="M15" s="1024"/>
      <c r="N15" s="1025"/>
      <c r="O15" s="428"/>
      <c r="P15" s="1023" t="s">
        <v>22</v>
      </c>
      <c r="Q15" s="1024"/>
      <c r="R15" s="1025"/>
      <c r="S15" s="1018" t="s">
        <v>23</v>
      </c>
      <c r="T15" s="1018" t="s">
        <v>24</v>
      </c>
      <c r="U15" s="1018" t="s">
        <v>5</v>
      </c>
      <c r="V15" s="1018" t="s">
        <v>25</v>
      </c>
    </row>
    <row r="16" spans="1:72" s="17" customFormat="1" ht="63" customHeight="1" thickBot="1" x14ac:dyDescent="0.4">
      <c r="A16" s="1043"/>
      <c r="B16" s="1043"/>
      <c r="C16" s="422" t="s">
        <v>96</v>
      </c>
      <c r="D16" s="1043"/>
      <c r="E16" s="422" t="s">
        <v>97</v>
      </c>
      <c r="F16" s="18" t="s">
        <v>26</v>
      </c>
      <c r="G16" s="421" t="s">
        <v>96</v>
      </c>
      <c r="H16" s="18" t="s">
        <v>10</v>
      </c>
      <c r="I16" s="421" t="s">
        <v>96</v>
      </c>
      <c r="J16" s="18" t="s">
        <v>27</v>
      </c>
      <c r="K16" s="1041"/>
      <c r="L16" s="18" t="s">
        <v>26</v>
      </c>
      <c r="M16" s="18" t="s">
        <v>10</v>
      </c>
      <c r="N16" s="20" t="s">
        <v>27</v>
      </c>
      <c r="O16" s="422" t="s">
        <v>100</v>
      </c>
      <c r="P16" s="18" t="s">
        <v>28</v>
      </c>
      <c r="Q16" s="18" t="s">
        <v>24</v>
      </c>
      <c r="R16" s="18" t="s">
        <v>29</v>
      </c>
      <c r="S16" s="1018"/>
      <c r="T16" s="1018"/>
      <c r="U16" s="1018"/>
      <c r="V16" s="1018"/>
    </row>
    <row r="17" spans="1:70" ht="409.6" customHeight="1" x14ac:dyDescent="0.35">
      <c r="A17" s="516" t="s">
        <v>296</v>
      </c>
      <c r="B17" s="517" t="s">
        <v>297</v>
      </c>
      <c r="C17" s="518" t="s">
        <v>298</v>
      </c>
      <c r="D17" s="519" t="s">
        <v>299</v>
      </c>
      <c r="E17" s="520" t="s">
        <v>106</v>
      </c>
      <c r="F17" s="521">
        <v>2</v>
      </c>
      <c r="G17" s="522" t="s">
        <v>152</v>
      </c>
      <c r="H17" s="523">
        <v>1</v>
      </c>
      <c r="I17" s="524" t="s">
        <v>195</v>
      </c>
      <c r="J17" s="525" t="s">
        <v>48</v>
      </c>
      <c r="K17" s="526" t="s">
        <v>300</v>
      </c>
      <c r="L17" s="1065" t="s">
        <v>10</v>
      </c>
      <c r="M17" s="1066"/>
      <c r="N17" s="527" t="s">
        <v>48</v>
      </c>
      <c r="O17" s="397"/>
      <c r="P17" s="528" t="s">
        <v>301</v>
      </c>
      <c r="Q17" s="867" t="s">
        <v>497</v>
      </c>
      <c r="R17" s="855" t="s">
        <v>498</v>
      </c>
      <c r="S17" s="857">
        <v>42947</v>
      </c>
      <c r="T17" s="695" t="s">
        <v>499</v>
      </c>
      <c r="U17" s="529" t="s">
        <v>302</v>
      </c>
      <c r="V17" s="530" t="s">
        <v>303</v>
      </c>
      <c r="X17" s="28" t="str">
        <f>IF(AND(F17=1,H17=5),$H$25,IF(AND(F17=1,H17=10),$J$25,IF(AND(F17=1,H17=20),$K$25," ")))</f>
        <v xml:space="preserve"> </v>
      </c>
      <c r="Y17" s="28" t="str">
        <f>IF(AND(F17=2,H17=5),$H$26,IF(AND(F17=2,H17=10),$J$26,IF(AND(F17=2,H17=20),$K$26," ")))</f>
        <v xml:space="preserve"> </v>
      </c>
      <c r="Z17" s="28" t="str">
        <f>IF(AND(F17=3,H17=5),$H$27,IF(AND(F17=3,H17=10),$J$27,IF(AND(F17=3,H17=20),$K$27," ")))</f>
        <v xml:space="preserve"> </v>
      </c>
      <c r="AA17" s="28" t="str">
        <f>IF(AND(F17=4,H17=5),$H$28,IF(AND(F17=4,H17=10),$J$28,IF(AND(F17=4,H17=20),$K$28," ")))</f>
        <v xml:space="preserve"> </v>
      </c>
      <c r="AB17" s="28" t="str">
        <f>IF(AND(F17=5,H17=5),$H$29,IF(AND(F17=5,H17=10),$J$29,IF(AND(F17=5,H17=20),$K$29," ")))</f>
        <v xml:space="preserve"> </v>
      </c>
      <c r="AD17" s="29" t="s">
        <v>31</v>
      </c>
      <c r="AE17" s="28" t="str">
        <f>IF(AND(L17&gt;0,[25]EvaluaciónRiesgoCorrupR1!$F$11&gt;75,F17=1,H17=5),$H$25,IF(AND(L17&gt;0,[25]EvaluaciónRiesgoCorrupR1!$F$11&gt;75,F17=1,H17=10),$J$25,IF(AND(L17&gt;0,[25]EvaluaciónRiesgoCorrupR1!$F$11&gt;75,F17=1,H17=20),$K$25," ")))</f>
        <v xml:space="preserve"> </v>
      </c>
      <c r="AF17" s="28" t="str">
        <f>IF(AND(L17&gt;0,[25]EvaluaciónRiesgoCorrupR1!$F$11&gt;75,F17=2,H17=5),$H$25,IF(AND(L17&gt;0,[25]EvaluaciónRiesgoCorrupR1!$F$11&gt;75,F17=2,H17=10),$J$25,IF(AND(L17&gt;0,[25]EvaluaciónRiesgoCorrupR1!$F$11&gt;75,F17=2,H17=20),$K$25," ")))</f>
        <v xml:space="preserve"> </v>
      </c>
      <c r="AG17" s="28" t="str">
        <f>IF(AND(L17&gt;0,[25]EvaluaciónRiesgoCorrupR1!$F$11&gt;75,F17=3,H17=5),$H$25,IF(AND(L17&gt;0,[25]EvaluaciónRiesgoCorrupR1!$F$11&gt;75,F17=3,H17=10),$J$25,IF(AND(L17&gt;0,[25]EvaluaciónRiesgoCorrupR1!$F$11&gt;75,F17=3,H17=20),$K$25," ")))</f>
        <v xml:space="preserve"> </v>
      </c>
      <c r="AH17" s="28" t="str">
        <f>IF(AND(L17&gt;0,[25]EvaluaciónRiesgoCorrupR1!$F$11&gt;75,F17=4,H17=5),$H$26,IF(AND(L17&gt;0,[25]EvaluaciónRiesgoCorrupR1!$F$11&gt;75,F17=4,H17=10),$J$26,IF(AND(L17&gt;0,[25]EvaluaciónRiesgoCorrupR1!$F$11&gt;75,F17=4,H17=20),$K$26," ")))</f>
        <v xml:space="preserve"> </v>
      </c>
      <c r="AI17" s="28" t="str">
        <f>IF(AND(L17&gt;0,[25]EvaluaciónRiesgoCorrupR1!$F$11&gt;75,F17=5,H17=5),$H$27,IF(AND(L17&gt;0,[25]EvaluaciónRiesgoCorrupR1!$F$11&gt;75,F17=5,H17=10),$J$27,IF(AND(L17&gt;0,[25]EvaluaciónRiesgoCorrupR1!$F$11&gt;75,F17=5,H17=20),$K$27," ")))</f>
        <v xml:space="preserve"> </v>
      </c>
      <c r="AJ17" s="29" t="s">
        <v>32</v>
      </c>
      <c r="AK17" s="28" t="str">
        <f>IF(AND(L17&gt;0,[25]EvaluaciónRiesgoCorrupR1!$F$11&gt;50,[25]EvaluaciónRiesgoCorrupR1!$F$11&lt;76,F17=1,H17=5),$H$25,IF(AND(L17&gt;0,[25]EvaluaciónRiesgoCorrupR1!$F$11&gt;50,[25]EvaluaciónRiesgoCorrupR1!$F$11&lt;76,F17=1,H17=10),$J$25,IF(AND(L17&gt;0,[25]EvaluaciónRiesgoCorrupR1!$F$11&gt;50,[25]EvaluaciónRiesgoCorrupR1!$F$11&lt;76,F17=1,H17=20),$K$25," ")))</f>
        <v xml:space="preserve"> </v>
      </c>
      <c r="AL17" s="28" t="str">
        <f>IF(AND(L17&gt;0,[25]EvaluaciónRiesgoCorrupR1!$F$11&gt;50,[25]EvaluaciónRiesgoCorrupR1!$F$11&lt;76,F17=2,H17=5),$H$25,IF(AND(L17&gt;0,[25]EvaluaciónRiesgoCorrupR1!$F$11&gt;50,[25]EvaluaciónRiesgoCorrupR1!$F$11&lt;76,F17=2,H17=10),$J$25,IF(AND(L17&gt;0,[25]EvaluaciónRiesgoCorrupR1!$F$11&gt;50,[25]EvaluaciónRiesgoCorrupR1!$F$11&lt;76,F17=2,H17=20),$K$25," ")))</f>
        <v xml:space="preserve"> </v>
      </c>
      <c r="AM17" s="28" t="str">
        <f>IF(AND(L17&gt;0,[25]EvaluaciónRiesgoCorrupR1!$F$11&gt;50,[25]EvaluaciónRiesgoCorrupR1!$F$11&lt;76,F17=3,H17=5),$H$26,IF(AND(L17&gt;0,[25]EvaluaciónRiesgoCorrupR1!$F$11&gt;50,[25]EvaluaciónRiesgoCorrupR1!$F$11&lt;76,F17=3,H17=10),$J$26,IF(AND(L17&gt;0,[25]EvaluaciónRiesgoCorrupR1!$F$11&gt;50,[25]EvaluaciónRiesgoCorrupR1!$F$11&lt;76,F17=3,H17=20),$K$26," ")))</f>
        <v xml:space="preserve"> </v>
      </c>
      <c r="AN17" s="28" t="str">
        <f>IF(AND(L17&gt;0,[25]EvaluaciónRiesgoCorrupR1!$F$11&gt;50,[25]EvaluaciónRiesgoCorrupR1!$F$11&lt;76,F17=4,H17=5),$H$27,IF(AND(L17&gt;0,[25]EvaluaciónRiesgoCorrupR1!$F$11&gt;50,[25]EvaluaciónRiesgoCorrupR1!$F$11&lt;76,F17=4,H17=10),$J$27,IF(AND(L17&gt;0,[25]EvaluaciónRiesgoCorrupR1!$F$11&gt;50,[25]EvaluaciónRiesgoCorrupR1!$F$11&lt;76,F17=4,H17=20),$K$27," ")))</f>
        <v xml:space="preserve"> </v>
      </c>
      <c r="AO17" s="28" t="str">
        <f>IF(AND(L17&gt;0,[25]EvaluaciónRiesgoCorrupR1!$F$11&gt;50,[25]EvaluaciónRiesgoCorrupR1!$F$11&lt;76,F17=5,H17=5),$H$28,IF(AND(L17&gt;0,[25]EvaluaciónRiesgoCorrupR1!$F$11&gt;50,[25]EvaluaciónRiesgoCorrupR1!$F$11&lt;76,F17=5,H17=10),$J$28,IF(AND(L17&gt;0,[25]EvaluaciónRiesgoCorrupR1!$F$11&gt;50,[25]EvaluaciónRiesgoCorrupR1!$F$11&lt;76,F17=5,H17=20),$K$28," ")))</f>
        <v xml:space="preserve"> </v>
      </c>
      <c r="AQ17" s="29" t="s">
        <v>33</v>
      </c>
      <c r="AR17" s="28" t="str">
        <f>IF(AND(L17&gt;0,[25]EvaluaciónRiesgoCorrupR1!$F$11&lt;51,F17=1,H17=5),$H$25,IF(AND(L17&gt;0,[25]EvaluaciónRiesgoCorrupR1!$F$11&lt;51,F17=1,H17=10),$J$25,IF(AND(L17&gt;0,[25]EvaluaciónRiesgoCorrupR1!$F$11&lt;51,F17=1,H17=20),K$25," ")))</f>
        <v xml:space="preserve"> </v>
      </c>
      <c r="AS17" s="28" t="str">
        <f>IF(AND(L17&gt;0,[25]EvaluaciónRiesgoCorrupR1!$F$11&lt;51,F17=2,H17=5),$H$26,IF(AND(L17&gt;0,[25]EvaluaciónRiesgoCorrupR1!$F$11&lt;51,F17=2,H17=10),$J$26,IF(AND(L17&gt;0,[25]EvaluaciónRiesgoCorrupR1!$F$11&lt;51,F17=2,H17=20),K$26," ")))</f>
        <v xml:space="preserve"> </v>
      </c>
      <c r="AT17" s="28" t="str">
        <f>IF(AND(L17&gt;0,[25]EvaluaciónRiesgoCorrupR1!$F$11&lt;51,F17=3,H17=5),$H$27,IF(AND(L17&gt;0,[25]EvaluaciónRiesgoCorrupR1!$F$11&lt;51,F17=3,H17=10),$J$27,IF(AND(L17&gt;0,[25]EvaluaciónRiesgoCorrupR1!$F$11&lt;51,F17=3,H17=20),K$27," ")))</f>
        <v xml:space="preserve"> </v>
      </c>
      <c r="AU17" s="28" t="str">
        <f>IF(AND(L17&gt;0,[25]EvaluaciónRiesgoCorrupR1!$F$11&lt;51,F17=4,H17=5),$H$28,IF(AND(L17&gt;0,[25]EvaluaciónRiesgoCorrupR1!$F$11&lt;51,F17=4,H17=10),$J$28,IF(AND(L17&gt;0,[25]EvaluaciónRiesgoCorrupR1!$F$11&lt;51,F17=4,H17=20),K$28," ")))</f>
        <v xml:space="preserve"> </v>
      </c>
      <c r="AV17" s="28" t="str">
        <f>IF(AND(L17&gt;0,[25]EvaluaciónRiesgoCorrupR1!$F$11&lt;51,F17=5,H17=5),$H$29,IF(AND(L17&gt;0,[25]EvaluaciónRiesgoCorrupR1!$F$11&lt;51,F17=5,H17=10),$J$29,IF(AND(L17&gt;0,[25]EvaluaciónRiesgoCorrupR1!$F$11&lt;51,F17=5,H17=20),K$29," ")))</f>
        <v xml:space="preserve"> </v>
      </c>
      <c r="AY17" s="29" t="s">
        <v>31</v>
      </c>
      <c r="AZ17" s="28" t="str">
        <f>IF(AND(M17&gt;0,[25]EvaluaciónRiesgoCorrupR1!$F$11&gt;75,F17=1,H17=5),$H$25,IF(AND(M17&gt;0,[25]EvaluaciónRiesgoCorrupR1!$F$11&gt;75,F17=1,H17=10),$H$25,IF(AND(M17&gt;0,[25]EvaluaciónRiesgoCorrupR1!$F$11&gt;75,F17=1,H17=20),$H$25," ")))</f>
        <v xml:space="preserve"> </v>
      </c>
      <c r="BA17" s="28" t="str">
        <f>IF(AND(M17&gt;0,[25]EvaluaciónRiesgoCorrupR1!$F$11&gt;75,F17=2,H17=5),$H$26,IF(AND(M17&gt;0,[25]EvaluaciónRiesgoCorrupR1!$F$11&gt;75,F17=2,H17=10),$H$26,IF(AND(M17&gt;0,[25]EvaluaciónRiesgoCorrupR1!$F$11&gt;75,F17=2,H17=20),$H$26," ")))</f>
        <v xml:space="preserve"> </v>
      </c>
      <c r="BB17" s="28" t="str">
        <f>IF(AND(M17&gt;0,[25]EvaluaciónRiesgoCorrupR1!$F$11&gt;75,F17=3,H17=5),$H$27,IF(AND(M17&gt;0,[25]EvaluaciónRiesgoCorrupR1!$F$11&gt;75,F17=3,H17=10),$H$27,IF(AND(M17&gt;0,[25]EvaluaciónRiesgoCorrupR1!$F$11&gt;75,F17=3,H17=20),$H$27," ")))</f>
        <v xml:space="preserve"> </v>
      </c>
      <c r="BC17" s="28" t="str">
        <f>IF(AND(M17&gt;0,[25]EvaluaciónRiesgoCorrupR1!$F$11&gt;75,F17=4,H17=5),$H$28,IF(AND(M17&gt;0,[25]EvaluaciónRiesgoCorrupR1!$F$11&gt;75,F17=4,H17=10),$H$28,IF(AND(M17&gt;0,[25]EvaluaciónRiesgoCorrupR1!$F$11&gt;75,F17=4,H17=20),$H$28," ")))</f>
        <v xml:space="preserve"> </v>
      </c>
      <c r="BD17" s="28" t="str">
        <f>IF(AND(M17&gt;0,[25]EvaluaciónRiesgoCorrupR1!$F$11&gt;75,F17=5,H17=5),$H$29,IF(AND(M17&gt;0,[25]EvaluaciónRiesgoCorrupR1!$F$11&gt;75,F17=5,H17=10),$H$29,IF(AND(M17&gt;0,[25]EvaluaciónRiesgoCorrupR1!$F$11&gt;75,F17=5,H17=20),$H$29," ")))</f>
        <v xml:space="preserve"> </v>
      </c>
      <c r="BF17" s="29" t="s">
        <v>32</v>
      </c>
      <c r="BG17" s="28" t="str">
        <f>IF(AND(M17&gt;0,[25]EvaluaciónRiesgoCorrupR1!$F$11&gt;50,[25]EvaluaciónRiesgoCorrupR1!$F$11&lt;76,F17=1,H17=5),$H$25,IF(AND(M17&gt;0,[25]EvaluaciónRiesgoCorrupR1!$F$11&gt;50,[25]EvaluaciónRiesgoCorrupR1!$F$11&lt;76,F17=1,H17=10),$H$25,IF(AND(M17&gt;0,[25]EvaluaciónRiesgoCorrupR1!$F$11&gt;50,[25]EvaluaciónRiesgoCorrupR1!$F$11&lt;76,F17=1,H17=20),$J$25," ")))</f>
        <v xml:space="preserve"> </v>
      </c>
      <c r="BH17" s="28" t="str">
        <f>IF(AND(M17&gt;0,[25]EvaluaciónRiesgoCorrupR1!$F$11&gt;50,[25]EvaluaciónRiesgoCorrupR1!$F$11&lt;76,F17=2,H17=5),$H$26,IF(AND(M17&gt;0,[25]EvaluaciónRiesgoCorrupR1!$F$11&gt;50,[25]EvaluaciónRiesgoCorrupR1!$F$11&lt;76,F17=2,H17=10),$H$26,IF(AND(M17&gt;0,[25]EvaluaciónRiesgoCorrupR1!$F$11&gt;50,[25]EvaluaciónRiesgoCorrupR1!$F$11&lt;76,F17=2,H17=20),$J$26," ")))</f>
        <v xml:space="preserve"> </v>
      </c>
      <c r="BI17" s="28" t="str">
        <f>IF(AND(M17&gt;0,[25]EvaluaciónRiesgoCorrupR1!$F$11&gt;50,[25]EvaluaciónRiesgoCorrupR1!$F$11&lt;76,F17=3,H17=5),$H$27,IF(AND(M17&gt;0,[25]EvaluaciónRiesgoCorrupR1!$F$11&gt;50,[25]EvaluaciónRiesgoCorrupR1!$F$11&lt;76,F17=3,H17=10),$H$27,IF(AND(M17&gt;0,[25]EvaluaciónRiesgoCorrupR1!$F$11&gt;50,[25]EvaluaciónRiesgoCorrupR1!$F$11&lt;76,F17=3,H17=20),$J$27," ")))</f>
        <v xml:space="preserve"> </v>
      </c>
      <c r="BJ17" s="28" t="str">
        <f>IF(AND(M17&gt;0,[25]EvaluaciónRiesgoCorrupR1!$F$11&gt;50,[25]EvaluaciónRiesgoCorrupR1!$F$11&lt;76,F17=4,H17=5),$H$28,IF(AND(M17&gt;0,[25]EvaluaciónRiesgoCorrupR1!$F$11&gt;50,[25]EvaluaciónRiesgoCorrupR1!$F$11&lt;76,F17=4,H17=10),$H$28,IF(AND(M17&gt;0,[25]EvaluaciónRiesgoCorrupR1!$F$11&gt;50,[25]EvaluaciónRiesgoCorrupR1!$F$11&lt;76,F17=4,H17=20),$J$28," ")))</f>
        <v xml:space="preserve"> </v>
      </c>
      <c r="BK17" s="28" t="str">
        <f>IF(AND(M17&gt;0,[25]EvaluaciónRiesgoCorrupR1!$F$11&gt;50,[25]EvaluaciónRiesgoCorrupR1!$F$11&lt;76,F17=5,H17=5),$H$29,IF(AND(M17&gt;0,[25]EvaluaciónRiesgoCorrupR1!$F$11&gt;50,[25]EvaluaciónRiesgoCorrupR1!$F$11&lt;76,F17=5,H17=10),$H$29,IF(AND(M17&gt;0,[25]EvaluaciónRiesgoCorrupR1!$F$11&gt;50,[25]EvaluaciónRiesgoCorrupR1!$F$11&lt;76,F17=5,H17=20),$J$29," ")))</f>
        <v xml:space="preserve"> </v>
      </c>
      <c r="BM17" s="29" t="s">
        <v>33</v>
      </c>
      <c r="BN17" s="28" t="str">
        <f>IF(AND(M17&gt;0,[25]EvaluaciónRiesgoCorrupR1!$F$11&lt;51,F17=1,H17=5),$H$25,IF(AND(M17&gt;0,[25]EvaluaciónRiesgoCorrupR1!$F$11&lt;51,F17=1,H17=10),$J$25,IF(AND(M17&gt;0,[25]EvaluaciónRiesgoCorrupR1!$F$11&lt;51,F17=1,H17=20),$K$25," ")))</f>
        <v xml:space="preserve"> </v>
      </c>
      <c r="BO17" s="28" t="str">
        <f>IF(AND(M17&gt;0,[25]EvaluaciónRiesgoCorrupR1!$F$11&lt;51,F17=2,H17=5),$H$26,IF(AND(M17&gt;0,[25]EvaluaciónRiesgoCorrupR1!$F$11&lt;51,F17=2,H17=10),$J$26,IF(AND(M17&gt;0,[25]EvaluaciónRiesgoCorrupR1!$F$11&lt;51,F17=2,H17=20),$K$26," ")))</f>
        <v xml:space="preserve"> </v>
      </c>
      <c r="BP17" s="28" t="str">
        <f>IF(AND(M17&gt;0,[25]EvaluaciónRiesgoCorrupR1!$F$11&lt;51,F17=3,H17=5),$H$27,IF(AND(M17&gt;0,[25]EvaluaciónRiesgoCorrupR1!$F$11&lt;51,F17=3,H17=10),$J$27,IF(AND(M17&gt;0,[25]EvaluaciónRiesgoCorrupR1!$F$11&lt;51,F17=3,H17=20),$K$27," ")))</f>
        <v xml:space="preserve"> </v>
      </c>
      <c r="BQ17" s="28" t="str">
        <f>IF(AND(M17&gt;0,[25]EvaluaciónRiesgoCorrupR1!$F$11&lt;51,F17=4,H17=5),$H$28,IF(AND(M17&gt;0,[25]EvaluaciónRiesgoCorrupR1!$F$11&lt;51,F17=4,H17=10),$J$28,IF(AND(M17&gt;0,[25]EvaluaciónRiesgoCorrupR1!$F$11&lt;51,F17=4,H17=20),$K$28," ")))</f>
        <v xml:space="preserve"> </v>
      </c>
      <c r="BR17" s="28" t="str">
        <f>IF(AND(M17&gt;0,[25]EvaluaciónRiesgoCorrupR1!$F$11&lt;51,F17=5,H17=5),$H$29,IF(AND(M17&gt;0,[25]EvaluaciónRiesgoCorrupR1!$F$11&lt;51,F17=5,H17=10),$J$29,IF(AND(M17&gt;0,[25]EvaluaciónRiesgoCorrupR1!$F$11&lt;51,F17=5,H17=20),$K$29," ")))</f>
        <v xml:space="preserve"> </v>
      </c>
    </row>
    <row r="18" spans="1:70" ht="346.5" customHeight="1" x14ac:dyDescent="0.35">
      <c r="A18" s="531" t="s">
        <v>89</v>
      </c>
      <c r="B18" s="532" t="s">
        <v>90</v>
      </c>
      <c r="C18" s="533" t="s">
        <v>304</v>
      </c>
      <c r="D18" s="534" t="s">
        <v>91</v>
      </c>
      <c r="E18" s="535" t="s">
        <v>119</v>
      </c>
      <c r="F18" s="536">
        <v>1</v>
      </c>
      <c r="G18" s="537" t="s">
        <v>121</v>
      </c>
      <c r="H18" s="538">
        <v>10</v>
      </c>
      <c r="I18" s="539" t="s">
        <v>108</v>
      </c>
      <c r="J18" s="23" t="str">
        <f>CONCATENATE(X18,Y18,Z18,AA18,AB18)</f>
        <v xml:space="preserve">B    </v>
      </c>
      <c r="K18" s="540" t="s">
        <v>508</v>
      </c>
      <c r="L18" s="1065" t="s">
        <v>10</v>
      </c>
      <c r="M18" s="1066"/>
      <c r="N18" s="23" t="str">
        <f>CONCATENATE(AE18,AF18,AG18,AH18,AI18,AK18,AL18,AM18,AN18,AO18,AR18,AS18,AT18,AU18,AV18,AZ18,BA18,BB18,BC18,BD18,BG18,BH18,BI18,BJ18,BK18,BN18,BO18,BP18,BQ18,BR18)</f>
        <v xml:space="preserve">B                             </v>
      </c>
      <c r="O18" s="397"/>
      <c r="P18" s="541" t="s">
        <v>301</v>
      </c>
      <c r="Q18" s="867" t="s">
        <v>507</v>
      </c>
      <c r="R18" s="855" t="s">
        <v>505</v>
      </c>
      <c r="S18" s="857">
        <v>42947</v>
      </c>
      <c r="T18" s="695" t="s">
        <v>506</v>
      </c>
      <c r="U18" s="398" t="s">
        <v>302</v>
      </c>
      <c r="V18" s="409" t="s">
        <v>303</v>
      </c>
      <c r="X18" s="28" t="str">
        <f>IF(AND(F18=1,H18=5),$H$25,IF(AND(F18=1,H18=10),$J$25,IF(AND(F18=1,H18=20),$K$25," ")))</f>
        <v>B</v>
      </c>
      <c r="Y18" s="28" t="str">
        <f>IF(AND(F18=2,H18=5),$H$26,IF(AND(F18=2,H18=10),$J$26,IF(AND(F18=2,H18=20),$K$26," ")))</f>
        <v xml:space="preserve"> </v>
      </c>
      <c r="Z18" s="28" t="str">
        <f>IF(AND(F18=3,H18=5),$H$27,IF(AND(F18=3,H18=10),$J$27,IF(AND(F18=3,H18=20),$K$27," ")))</f>
        <v xml:space="preserve"> </v>
      </c>
      <c r="AA18" s="28" t="str">
        <f>IF(AND(F18=4,H18=5),$H$28,IF(AND(F18=4,H18=10),$J$28,IF(AND(F18=4,H18=20),$K$28," ")))</f>
        <v xml:space="preserve"> </v>
      </c>
      <c r="AB18" s="28" t="str">
        <f>IF(AND(F18=5,H18=5),$H$29,IF(AND(F18=5,H18=10),$J$29,IF(AND(F18=5,H18=20),$K$29," ")))</f>
        <v xml:space="preserve"> </v>
      </c>
      <c r="AE18" s="28" t="str">
        <f>IF(AND(L18&gt;0,[25]EvaluaciónRiesgoCorrupR1!$F$11&gt;75,F18=1,H18=5),$H$25,IF(AND(L18&gt;0,[25]EvaluaciónRiesgoCorrupR1!$F$11&gt;75,F18=1,H18=10),$J$25,IF(AND(L18&gt;0,[25]EvaluaciónRiesgoCorrupR1!$F$11&gt;75,F18=1,H18=20),$K$25," ")))</f>
        <v>B</v>
      </c>
      <c r="AF18" s="28" t="str">
        <f>IF(AND(L18&gt;0,[25]EvaluaciónRiesgoCorrupR1!$F$11&gt;75,F18=2,H18=5),$H$25,IF(AND(L18&gt;0,[25]EvaluaciónRiesgoCorrupR1!$F$11&gt;75,F18=2,H18=10),$J$25,IF(AND(L18&gt;0,[25]EvaluaciónRiesgoCorrupR1!$F$11&gt;75,F18=2,H18=20),$K$25," ")))</f>
        <v xml:space="preserve"> </v>
      </c>
      <c r="AG18" s="28" t="str">
        <f>IF(AND(L18&gt;0,[25]EvaluaciónRiesgoCorrupR1!$F$11&gt;75,F18=3,H18=5),$H$25,IF(AND(L18&gt;0,[25]EvaluaciónRiesgoCorrupR1!$F$11&gt;75,F18=3,H18=10),$J$25,IF(AND(L18&gt;0,[25]EvaluaciónRiesgoCorrupR1!$F$11&gt;75,F18=3,H18=20),$K$25," ")))</f>
        <v xml:space="preserve"> </v>
      </c>
      <c r="AH18" s="28" t="str">
        <f>IF(AND(L18&gt;0,[25]EvaluaciónRiesgoCorrupR1!$F$11&gt;75,F18=4,H18=5),$H$26,IF(AND(L18&gt;0,[25]EvaluaciónRiesgoCorrupR1!$F$11&gt;75,F18=4,H18=10),$J$26,IF(AND(L18&gt;0,[25]EvaluaciónRiesgoCorrupR1!$F$11&gt;75,F18=4,H18=20),$K$26," ")))</f>
        <v xml:space="preserve"> </v>
      </c>
      <c r="AI18" s="28" t="str">
        <f>IF(AND(L18&gt;0,[25]EvaluaciónRiesgoCorrupR1!$F$11&gt;75,F18=5,H18=5),$H$27,IF(AND(L18&gt;0,[25]EvaluaciónRiesgoCorrupR1!$F$11&gt;75,F18=5,H18=10),$J$27,IF(AND(L18&gt;0,[25]EvaluaciónRiesgoCorrupR1!$F$11&gt;75,F18=5,H18=20),$K$27," ")))</f>
        <v xml:space="preserve"> </v>
      </c>
      <c r="AK18" s="28" t="str">
        <f>IF(AND(L18&gt;0,[25]EvaluaciónRiesgoCorrupR1!$F$11&gt;50,[25]EvaluaciónRiesgoCorrupR1!$F$11&lt;76,F18=1,H18=5),$H$25,IF(AND(L18&gt;0,[25]EvaluaciónRiesgoCorrupR1!$F$11&gt;50,[25]EvaluaciónRiesgoCorrupR1!$F$11&lt;76,F18=1,H18=10),$J$25,IF(AND(L18&gt;0,[25]EvaluaciónRiesgoCorrupR1!$F$11&gt;50,[25]EvaluaciónRiesgoCorrupR1!$F$11&lt;76,F18=1,H18=20),$K$25," ")))</f>
        <v xml:space="preserve"> </v>
      </c>
      <c r="AL18" s="28" t="str">
        <f>IF(AND(L18&gt;0,[25]EvaluaciónRiesgoCorrupR1!$F$11&gt;50,[25]EvaluaciónRiesgoCorrupR1!$F$11&lt;76,F18=2,H18=5),$H$25,IF(AND(L18&gt;0,[25]EvaluaciónRiesgoCorrupR1!$F$11&gt;50,[25]EvaluaciónRiesgoCorrupR1!$F$11&lt;76,F18=2,H18=10),$J$25,IF(AND(L18&gt;0,[25]EvaluaciónRiesgoCorrupR1!$F$11&gt;50,[25]EvaluaciónRiesgoCorrupR1!$F$11&lt;76,F18=2,H18=20),$K$25," ")))</f>
        <v xml:space="preserve"> </v>
      </c>
      <c r="AM18" s="28" t="str">
        <f>IF(AND(L18&gt;0,[25]EvaluaciónRiesgoCorrupR1!$F$11&gt;50,[25]EvaluaciónRiesgoCorrupR1!$F$11&lt;76,F18=3,H18=5),$H$26,IF(AND(L18&gt;0,[25]EvaluaciónRiesgoCorrupR1!$F$11&gt;50,[25]EvaluaciónRiesgoCorrupR1!$F$11&lt;76,F18=3,H18=10),$J$26,IF(AND(L18&gt;0,[25]EvaluaciónRiesgoCorrupR1!$F$11&gt;50,[25]EvaluaciónRiesgoCorrupR1!$F$11&lt;76,F18=3,H18=20),$K$26," ")))</f>
        <v xml:space="preserve"> </v>
      </c>
      <c r="AN18" s="28" t="str">
        <f>IF(AND(L18&gt;0,[25]EvaluaciónRiesgoCorrupR1!$F$11&gt;50,[25]EvaluaciónRiesgoCorrupR1!$F$11&lt;76,F18=4,H18=5),$H$27,IF(AND(L18&gt;0,[25]EvaluaciónRiesgoCorrupR1!$F$11&gt;50,[25]EvaluaciónRiesgoCorrupR1!$F$11&lt;76,F18=4,H18=10),$J$27,IF(AND(L18&gt;0,[25]EvaluaciónRiesgoCorrupR1!$F$11&gt;50,[25]EvaluaciónRiesgoCorrupR1!$F$11&lt;76,F18=4,H18=20),$K$27," ")))</f>
        <v xml:space="preserve"> </v>
      </c>
      <c r="AO18" s="28" t="str">
        <f>IF(AND(L18&gt;0,[25]EvaluaciónRiesgoCorrupR1!$F$11&gt;50,[25]EvaluaciónRiesgoCorrupR1!$F$11&lt;76,F18=5,H18=5),$H$28,IF(AND(L18&gt;0,[25]EvaluaciónRiesgoCorrupR1!$F$11&gt;50,[25]EvaluaciónRiesgoCorrupR1!$F$11&lt;76,F18=5,H18=10),$J$28,IF(AND(L18&gt;0,[25]EvaluaciónRiesgoCorrupR1!$F$11&gt;50,[25]EvaluaciónRiesgoCorrupR1!$F$11&lt;76,F18=5,H18=20),$K$28," ")))</f>
        <v xml:space="preserve"> </v>
      </c>
      <c r="AR18" s="28" t="str">
        <f>IF(AND(L18&gt;0,[25]EvaluaciónRiesgoCorrupR1!$F$11&lt;51,F18=1,H18=5),$H$25,IF(AND(L18&gt;0,[25]EvaluaciónRiesgoCorrupR1!$F$11&lt;51,F18=1,H18=10),$J$25,IF(AND(L18&gt;0,[25]EvaluaciónRiesgoCorrupR1!$F$11&lt;51,F18=1,H18=20),K$25," ")))</f>
        <v xml:space="preserve"> </v>
      </c>
      <c r="AS18" s="28" t="str">
        <f>IF(AND(L18&gt;0,[25]EvaluaciónRiesgoCorrupR1!$F$11&lt;51,F18=2,H18=5),$H$26,IF(AND(L18&gt;0,[25]EvaluaciónRiesgoCorrupR1!$F$11&lt;51,F18=2,H18=10),$J$26,IF(AND(L18&gt;0,[25]EvaluaciónRiesgoCorrupR1!$F$11&lt;51,F18=2,H18=20),K$26," ")))</f>
        <v xml:space="preserve"> </v>
      </c>
      <c r="AT18" s="28" t="str">
        <f>IF(AND(L18&gt;0,[25]EvaluaciónRiesgoCorrupR1!$F$11&lt;51,F18=3,H18=5),$H$27,IF(AND(L18&gt;0,[25]EvaluaciónRiesgoCorrupR1!$F$11&lt;51,F18=3,H18=10),$J$27,IF(AND(L18&gt;0,[25]EvaluaciónRiesgoCorrupR1!$F$11&lt;51,F18=3,H18=20),K$27," ")))</f>
        <v xml:space="preserve"> </v>
      </c>
      <c r="AU18" s="28" t="str">
        <f>IF(AND(L18&gt;0,[25]EvaluaciónRiesgoCorrupR1!$F$11&lt;51,F18=4,H18=5),$H$28,IF(AND(L18&gt;0,[25]EvaluaciónRiesgoCorrupR1!$F$11&lt;51,F18=4,H18=10),$J$28,IF(AND(L18&gt;0,[25]EvaluaciónRiesgoCorrupR1!$F$11&lt;51,F18=4,H18=20),K$28," ")))</f>
        <v xml:space="preserve"> </v>
      </c>
      <c r="AV18" s="28" t="str">
        <f>IF(AND(L18&gt;0,[25]EvaluaciónRiesgoCorrupR1!$F$11&lt;51,F18=5,H18=5),$H$29,IF(AND(L18&gt;0,[25]EvaluaciónRiesgoCorrupR1!$F$11&lt;51,F18=5,H18=10),$J$29,IF(AND(L18&gt;0,[25]EvaluaciónRiesgoCorrupR1!$F$11&lt;51,F18=5,H18=20),K$29," ")))</f>
        <v xml:space="preserve"> </v>
      </c>
      <c r="AZ18" s="28" t="str">
        <f>IF(AND(M18&gt;0,[25]EvaluaciónRiesgoCorrupR1!$F$11&gt;75,F18=1,H18=5),$H$25,IF(AND(M18&gt;0,[25]EvaluaciónRiesgoCorrupR1!$F$11&gt;75,F18=1,H18=10),$H$25,IF(AND(M18&gt;0,[25]EvaluaciónRiesgoCorrupR1!$F$11&gt;75,F18=1,H18=20),$H$25," ")))</f>
        <v xml:space="preserve"> </v>
      </c>
      <c r="BA18" s="28" t="str">
        <f>IF(AND(M18&gt;0,[25]EvaluaciónRiesgoCorrupR1!$F$11&gt;75,F18=2,H18=5),$H$26,IF(AND(M18&gt;0,[25]EvaluaciónRiesgoCorrupR1!$F$11&gt;75,F18=2,H18=10),$H$26,IF(AND(M18&gt;0,[25]EvaluaciónRiesgoCorrupR1!$F$11&gt;75,F18=2,H18=20),$H$26," ")))</f>
        <v xml:space="preserve"> </v>
      </c>
      <c r="BB18" s="28" t="str">
        <f>IF(AND(M18&gt;0,[25]EvaluaciónRiesgoCorrupR1!$F$11&gt;75,F18=3,H18=5),$H$27,IF(AND(M18&gt;0,[25]EvaluaciónRiesgoCorrupR1!$F$11&gt;75,F18=3,H18=10),$H$27,IF(AND(M18&gt;0,[25]EvaluaciónRiesgoCorrupR1!$F$11&gt;75,F18=3,H18=20),$H$27," ")))</f>
        <v xml:space="preserve"> </v>
      </c>
      <c r="BC18" s="28" t="str">
        <f>IF(AND(M18&gt;0,[25]EvaluaciónRiesgoCorrupR1!$F$11&gt;75,F18=4,H18=5),$H$28,IF(AND(M18&gt;0,[25]EvaluaciónRiesgoCorrupR1!$F$11&gt;75,F18=4,H18=10),$H$28,IF(AND(M18&gt;0,[25]EvaluaciónRiesgoCorrupR1!$F$11&gt;75,F18=4,H18=20),$H$28," ")))</f>
        <v xml:space="preserve"> </v>
      </c>
      <c r="BD18" s="28" t="str">
        <f>IF(AND(M18&gt;0,[25]EvaluaciónRiesgoCorrupR1!$F$11&gt;75,F18=5,H18=5),$H$29,IF(AND(M18&gt;0,[25]EvaluaciónRiesgoCorrupR1!$F$11&gt;75,F18=5,H18=10),$H$29,IF(AND(M18&gt;0,[25]EvaluaciónRiesgoCorrupR1!$F$11&gt;75,F18=5,H18=20),$H$29," ")))</f>
        <v xml:space="preserve"> </v>
      </c>
      <c r="BG18" s="28" t="str">
        <f>IF(AND(M18&gt;0,[25]EvaluaciónRiesgoCorrupR1!$F$11&gt;50,[25]EvaluaciónRiesgoCorrupR1!$F$11&lt;76,F18=1,H18=5),$H$25,IF(AND(M18&gt;0,[25]EvaluaciónRiesgoCorrupR1!$F$11&gt;50,[25]EvaluaciónRiesgoCorrupR1!$F$11&lt;76,F18=1,H18=10),$H$25,IF(AND(M18&gt;0,[25]EvaluaciónRiesgoCorrupR1!$F$11&gt;50,[25]EvaluaciónRiesgoCorrupR1!$F$11&lt;76,F18=1,H18=20),$J$25," ")))</f>
        <v xml:space="preserve"> </v>
      </c>
      <c r="BH18" s="28" t="str">
        <f>IF(AND(M18&gt;0,[25]EvaluaciónRiesgoCorrupR1!$F$11&gt;50,[25]EvaluaciónRiesgoCorrupR1!$F$11&lt;76,F18=2,H18=5),$H$26,IF(AND(M18&gt;0,[25]EvaluaciónRiesgoCorrupR1!$F$11&gt;50,[25]EvaluaciónRiesgoCorrupR1!$F$11&lt;76,F18=2,H18=10),$H$26,IF(AND(M18&gt;0,[25]EvaluaciónRiesgoCorrupR1!$F$11&gt;50,[25]EvaluaciónRiesgoCorrupR1!$F$11&lt;76,F18=2,H18=20),$J$26," ")))</f>
        <v xml:space="preserve"> </v>
      </c>
      <c r="BI18" s="28" t="str">
        <f>IF(AND(M18&gt;0,[25]EvaluaciónRiesgoCorrupR1!$F$11&gt;50,[25]EvaluaciónRiesgoCorrupR1!$F$11&lt;76,F18=3,H18=5),$H$27,IF(AND(M18&gt;0,[25]EvaluaciónRiesgoCorrupR1!$F$11&gt;50,[25]EvaluaciónRiesgoCorrupR1!$F$11&lt;76,F18=3,H18=10),$H$27,IF(AND(M18&gt;0,[25]EvaluaciónRiesgoCorrupR1!$F$11&gt;50,[25]EvaluaciónRiesgoCorrupR1!$F$11&lt;76,F18=3,H18=20),$J$27," ")))</f>
        <v xml:space="preserve"> </v>
      </c>
      <c r="BJ18" s="28" t="str">
        <f>IF(AND(M18&gt;0,[25]EvaluaciónRiesgoCorrupR1!$F$11&gt;50,[25]EvaluaciónRiesgoCorrupR1!$F$11&lt;76,F18=4,H18=5),$H$28,IF(AND(M18&gt;0,[25]EvaluaciónRiesgoCorrupR1!$F$11&gt;50,[25]EvaluaciónRiesgoCorrupR1!$F$11&lt;76,F18=4,H18=10),$H$28,IF(AND(M18&gt;0,[25]EvaluaciónRiesgoCorrupR1!$F$11&gt;50,[25]EvaluaciónRiesgoCorrupR1!$F$11&lt;76,F18=4,H18=20),$J$28," ")))</f>
        <v xml:space="preserve"> </v>
      </c>
      <c r="BK18" s="28" t="str">
        <f>IF(AND(M18&gt;0,[25]EvaluaciónRiesgoCorrupR1!$F$11&gt;50,[25]EvaluaciónRiesgoCorrupR1!$F$11&lt;76,F18=5,H18=5),$H$29,IF(AND(M18&gt;0,[25]EvaluaciónRiesgoCorrupR1!$F$11&gt;50,[25]EvaluaciónRiesgoCorrupR1!$F$11&lt;76,F18=5,H18=10),$H$29,IF(AND(M18&gt;0,[25]EvaluaciónRiesgoCorrupR1!$F$11&gt;50,[25]EvaluaciónRiesgoCorrupR1!$F$11&lt;76,F18=5,H18=20),$J$29," ")))</f>
        <v xml:space="preserve"> </v>
      </c>
      <c r="BN18" s="28" t="str">
        <f>IF(AND(M18&gt;0,[25]EvaluaciónRiesgoCorrupR1!$F$11&lt;51,F18=1,H18=5),$H$25,IF(AND(M18&gt;0,[25]EvaluaciónRiesgoCorrupR1!$F$11&lt;51,F18=1,H18=10),$J$25,IF(AND(M18&gt;0,[25]EvaluaciónRiesgoCorrupR1!$F$11&lt;51,F18=1,H18=20),$K$25," ")))</f>
        <v xml:space="preserve"> </v>
      </c>
      <c r="BO18" s="28" t="str">
        <f>IF(AND(M18&gt;0,[25]EvaluaciónRiesgoCorrupR1!$F$11&lt;51,F18=2,H18=5),$H$26,IF(AND(M18&gt;0,[25]EvaluaciónRiesgoCorrupR1!$F$11&lt;51,F18=2,H18=10),$J$26,IF(AND(M18&gt;0,[25]EvaluaciónRiesgoCorrupR1!$F$11&lt;51,F18=2,H18=20),$K$26," ")))</f>
        <v xml:space="preserve"> </v>
      </c>
      <c r="BP18" s="28" t="str">
        <f>IF(AND(M18&gt;0,[25]EvaluaciónRiesgoCorrupR1!$F$11&lt;51,F18=3,H18=5),$H$27,IF(AND(M18&gt;0,[25]EvaluaciónRiesgoCorrupR1!$F$11&lt;51,F18=3,H18=10),$J$27,IF(AND(M18&gt;0,[25]EvaluaciónRiesgoCorrupR1!$F$11&lt;51,F18=3,H18=20),$K$27," ")))</f>
        <v xml:space="preserve"> </v>
      </c>
      <c r="BQ18" s="28" t="str">
        <f>IF(AND(M18&gt;0,[25]EvaluaciónRiesgoCorrupR1!$F$11&lt;51,F18=4,H18=5),$H$28,IF(AND(M18&gt;0,[25]EvaluaciónRiesgoCorrupR1!$F$11&lt;51,F18=4,H18=10),$J$28,IF(AND(M18&gt;0,[25]EvaluaciónRiesgoCorrupR1!$F$11&lt;51,F18=4,H18=20),$K$28," ")))</f>
        <v xml:space="preserve"> </v>
      </c>
      <c r="BR18" s="28" t="str">
        <f>IF(AND(M18&gt;0,[25]EvaluaciónRiesgoCorrupR1!$F$11&lt;51,F18=5,H18=5),$H$29,IF(AND(M18&gt;0,[25]EvaluaciónRiesgoCorrupR1!$F$11&lt;51,F18=5,H18=10),$J$29,IF(AND(M18&gt;0,[25]EvaluaciónRiesgoCorrupR1!$F$11&lt;51,F18=5,H18=20),$K$29," ")))</f>
        <v xml:space="preserve"> </v>
      </c>
    </row>
    <row r="19" spans="1:70" ht="409.5" customHeight="1" x14ac:dyDescent="0.35">
      <c r="A19" s="856" t="str">
        <f>IF(ISTEXT([26]IdentificaciónRiesgos!$B8),[26]IdentificaciónRiesgos!$A8,"")</f>
        <v xml:space="preserve">Falta de ética y profesionalismo del funcionario instructor ó de la Primera Instancia Disciplinaria según el caso.   </v>
      </c>
      <c r="B19" s="856" t="str">
        <f>IF(ISTEXT([26]IdentificaciónRiesgos!$B8),[26]IdentificaciónRiesgos!$B8,"")</f>
        <v>No declararse impedido cuando exista el deber jurídico de hacerlo, con el ánimo de favorecer  a los sujetos procesales.</v>
      </c>
      <c r="C19" s="856" t="str">
        <f>IF(ISTEXT([26]IdentificaciónRiesgos!$B8),[26]IdentificaciónRiesgos!$C8,"")</f>
        <v>En caso de darse algunas de las causales contenidas en el Art. 84 del CDU, el servidor público que este adelantando la actuación disciplinaria ó que le competa fallar la misma, deberá declararse impedido</v>
      </c>
      <c r="D19" s="856" t="str">
        <f>IF(ISTEXT([26]IdentificaciónRiesgos!$B8),[26]IdentificaciónRiesgos!$D8,"")</f>
        <v xml:space="preserve">Incursión en Falta Disciplinaria Gravísima, al tenor de lo previsto en el Art. 48 No. 17 del CDU. </v>
      </c>
      <c r="E19" s="850" t="str">
        <f>IF(ISTEXT([26]IdentificaciónRiesgos!$B8),VLOOKUP($C19,[26]DefiniciónRiesgos!$A$4:$F$9,6,FALSE),"")</f>
        <v>RIESGO DE CORRUPCIÓN</v>
      </c>
      <c r="F19" s="851">
        <f>IF(ISTEXT([26]IdentificaciónRiesgos!$B8),
IF(EXACT([26]AnálisisRiesgos!$B11,"X"),5,
IF(EXACT([26]AnálisisRiesgos!$C11,"X"),4,
IF(EXACT([26]AnálisisRiesgos!$D11,"X"),3,
IF(EXACT([26]AnálisisRiesgos!$E11,"X"),2,
IF(EXACT([26]AnálisisRiesgos!$F11,"X"),1,""))))),"")</f>
        <v>1</v>
      </c>
      <c r="G19" s="851" t="str">
        <f t="shared" ref="G19" si="0">IF(EXACT($F19,5),"Casí Seguro",
IF(EXACT($F19,4),"Probable",
IF(EXACT($F19,3),"Posible",
IF(EXACT($F19,2),"Improbable","Rara Vez"))))</f>
        <v>Rara Vez</v>
      </c>
      <c r="H19" s="852">
        <f>IF(EXACT($B19,""),"",
IF(EXACT($E19,"RIESGO DE GESTIÓN"),IF(EXACT([26]AnálisisRiesgos!$G11,"X"),5,
IF(EXACT([26]AnálisisRiesgos!$H11,"X"),4,
IF(EXACT([26]AnálisisRiesgos!$I11,"X"),3,
IF(EXACT([26]AnálisisRiesgos!$J11,"X"),2,1)))),
IF(EXACT([26]AnálisisRiesgos!$L11,"X"),20,
IF(EXACT([26]AnálisisRiesgos!$M11,"X"),10,5
))))</f>
        <v>10</v>
      </c>
      <c r="I19" s="852" t="str">
        <f t="shared" ref="I19" si="1">IF(EXACT($E19,"RIESGO DE GESTIÓN"),
IF(EXACT($H19,1),"Insignificante",
IF(EXACT($H19,2),"Menor",
IF(EXACT($H19,3),"Moderado",
IF(EXACT($H19,4),"Mayor","Catastrófico")))),
IF(EXACT($H19,5),"Moderado",
IF(EXACT($H19,10),"Mayor","Catastrófico")))</f>
        <v>Mayor</v>
      </c>
      <c r="J19" s="23" t="str">
        <f>CONCATENATE(X19,Y19,Z19,AA19,AB19)</f>
        <v xml:space="preserve">B    </v>
      </c>
      <c r="K19" s="729" t="s">
        <v>500</v>
      </c>
      <c r="L19" s="1067" t="s">
        <v>10</v>
      </c>
      <c r="M19" s="1068"/>
      <c r="N19" s="23" t="str">
        <f>CONCATENATE(AE19,AF19,AG19,AH19,AI19,AK19,AL19,AM19,AN19,AO19,AR19,AS19,AT19,AU19,AV19,AZ19,BA19,BB19,BC19,BD19,BG19,BH19,BI19,BJ19,BK19,BN19,BO19,BP19,BQ19,BR19)</f>
        <v xml:space="preserve">B                             </v>
      </c>
      <c r="O19" s="397"/>
      <c r="P19" s="855" t="s">
        <v>301</v>
      </c>
      <c r="Q19" s="867" t="s">
        <v>501</v>
      </c>
      <c r="R19" s="855" t="s">
        <v>502</v>
      </c>
      <c r="S19" s="857">
        <v>42947</v>
      </c>
      <c r="T19" s="729" t="s">
        <v>504</v>
      </c>
      <c r="U19" s="855" t="s">
        <v>302</v>
      </c>
      <c r="V19" s="855" t="s">
        <v>303</v>
      </c>
      <c r="X19" s="28" t="str">
        <f>IF(AND(F19=1,H19=5),$H$25,IF(AND(F19=1,H19=10),$J$25,IF(AND(F19=1,H19=20),$K$25," ")))</f>
        <v>B</v>
      </c>
      <c r="Y19" s="28" t="str">
        <f>IF(AND(F19=2,H19=5),$H$26,IF(AND(F19=2,H19=10),$J$26,IF(AND(F19=2,H19=20),$K$26," ")))</f>
        <v xml:space="preserve"> </v>
      </c>
      <c r="Z19" s="28" t="str">
        <f>IF(AND(F19=3,H19=5),$H$27,IF(AND(F19=3,H19=10),$J$27,IF(AND(F19=3,H19=20),$K$27," ")))</f>
        <v xml:space="preserve"> </v>
      </c>
      <c r="AA19" s="28" t="str">
        <f>IF(AND(F19=4,H19=5),$H$28,IF(AND(F19=4,H19=10),$J$28,IF(AND(F19=4,H19=20),$K$28," ")))</f>
        <v xml:space="preserve"> </v>
      </c>
      <c r="AB19" s="28" t="str">
        <f>IF(AND(F19=5,H19=5),$H$29,IF(AND(F19=5,H19=10),$J$29,IF(AND(F19=5,H19=20),$K$29," ")))</f>
        <v xml:space="preserve"> </v>
      </c>
      <c r="AE19" s="28" t="str">
        <f>IF(AND(L19&gt;0,[25]EvaluaciónRiesgoCorrupR1!$F$11&gt;75,F19=1,H19=5),$H$25,IF(AND(L19&gt;0,[25]EvaluaciónRiesgoCorrupR1!$F$11&gt;75,F19=1,H19=10),$J$25,IF(AND(L19&gt;0,[25]EvaluaciónRiesgoCorrupR1!$F$11&gt;75,F19=1,H19=20),$K$25," ")))</f>
        <v>B</v>
      </c>
      <c r="AF19" s="28" t="str">
        <f>IF(AND(L19&gt;0,[25]EvaluaciónRiesgoCorrupR1!$F$11&gt;75,F19=2,H19=5),$H$25,IF(AND(L19&gt;0,[25]EvaluaciónRiesgoCorrupR1!$F$11&gt;75,F19=2,H19=10),$J$25,IF(AND(L19&gt;0,[25]EvaluaciónRiesgoCorrupR1!$F$11&gt;75,F19=2,H19=20),$K$25," ")))</f>
        <v xml:space="preserve"> </v>
      </c>
      <c r="AG19" s="28" t="str">
        <f>IF(AND(L19&gt;0,[25]EvaluaciónRiesgoCorrupR1!$F$11&gt;75,F19=3,H19=5),$H$25,IF(AND(L19&gt;0,[25]EvaluaciónRiesgoCorrupR1!$F$11&gt;75,F19=3,H19=10),$J$25,IF(AND(L19&gt;0,[25]EvaluaciónRiesgoCorrupR1!$F$11&gt;75,F19=3,H19=20),$K$25," ")))</f>
        <v xml:space="preserve"> </v>
      </c>
      <c r="AH19" s="28" t="str">
        <f>IF(AND(L19&gt;0,[25]EvaluaciónRiesgoCorrupR1!$F$11&gt;75,F19=4,H19=5),$H$26,IF(AND(L19&gt;0,[25]EvaluaciónRiesgoCorrupR1!$F$11&gt;75,F19=4,H19=10),$J$26,IF(AND(L19&gt;0,[25]EvaluaciónRiesgoCorrupR1!$F$11&gt;75,F19=4,H19=20),$K$26," ")))</f>
        <v xml:space="preserve"> </v>
      </c>
      <c r="AI19" s="28" t="str">
        <f>IF(AND(L19&gt;0,[25]EvaluaciónRiesgoCorrupR1!$F$11&gt;75,F19=5,H19=5),$H$27,IF(AND(L19&gt;0,[25]EvaluaciónRiesgoCorrupR1!$F$11&gt;75,F19=5,H19=10),$J$27,IF(AND(L19&gt;0,[25]EvaluaciónRiesgoCorrupR1!$F$11&gt;75,F19=5,H19=20),$K$27," ")))</f>
        <v xml:space="preserve"> </v>
      </c>
      <c r="AK19" s="28" t="str">
        <f>IF(AND(L19&gt;0,[25]EvaluaciónRiesgoCorrupR1!$F$11&gt;50,[25]EvaluaciónRiesgoCorrupR1!$F$11&lt;76,F19=1,H19=5),$H$25,IF(AND(L19&gt;0,[25]EvaluaciónRiesgoCorrupR1!$F$11&gt;50,[25]EvaluaciónRiesgoCorrupR1!$F$11&lt;76,F19=1,H19=10),$J$25,IF(AND(L19&gt;0,[25]EvaluaciónRiesgoCorrupR1!$F$11&gt;50,[25]EvaluaciónRiesgoCorrupR1!$F$11&lt;76,F19=1,H19=20),$K$25," ")))</f>
        <v xml:space="preserve"> </v>
      </c>
      <c r="AL19" s="28" t="str">
        <f>IF(AND(L19&gt;0,[25]EvaluaciónRiesgoCorrupR1!$F$11&gt;50,[25]EvaluaciónRiesgoCorrupR1!$F$11&lt;76,F19=2,H19=5),$H$25,IF(AND(L19&gt;0,[25]EvaluaciónRiesgoCorrupR1!$F$11&gt;50,[25]EvaluaciónRiesgoCorrupR1!$F$11&lt;76,F19=2,H19=10),$J$25,IF(AND(L19&gt;0,[25]EvaluaciónRiesgoCorrupR1!$F$11&gt;50,[25]EvaluaciónRiesgoCorrupR1!$F$11&lt;76,F19=2,H19=20),$K$25," ")))</f>
        <v xml:space="preserve"> </v>
      </c>
      <c r="AM19" s="28" t="str">
        <f>IF(AND(L19&gt;0,[25]EvaluaciónRiesgoCorrupR1!$F$11&gt;50,[25]EvaluaciónRiesgoCorrupR1!$F$11&lt;76,F19=3,H19=5),$H$26,IF(AND(L19&gt;0,[25]EvaluaciónRiesgoCorrupR1!$F$11&gt;50,[25]EvaluaciónRiesgoCorrupR1!$F$11&lt;76,F19=3,H19=10),$J$26,IF(AND(L19&gt;0,[25]EvaluaciónRiesgoCorrupR1!$F$11&gt;50,[25]EvaluaciónRiesgoCorrupR1!$F$11&lt;76,F19=3,H19=20),$K$26," ")))</f>
        <v xml:space="preserve"> </v>
      </c>
      <c r="AN19" s="28" t="str">
        <f>IF(AND(L19&gt;0,[25]EvaluaciónRiesgoCorrupR1!$F$11&gt;50,[25]EvaluaciónRiesgoCorrupR1!$F$11&lt;76,F19=4,H19=5),$H$27,IF(AND(L19&gt;0,[25]EvaluaciónRiesgoCorrupR1!$F$11&gt;50,[25]EvaluaciónRiesgoCorrupR1!$F$11&lt;76,F19=4,H19=10),$J$27,IF(AND(L19&gt;0,[25]EvaluaciónRiesgoCorrupR1!$F$11&gt;50,[25]EvaluaciónRiesgoCorrupR1!$F$11&lt;76,F19=4,H19=20),$K$27," ")))</f>
        <v xml:space="preserve"> </v>
      </c>
      <c r="AO19" s="28" t="str">
        <f>IF(AND(L19&gt;0,[25]EvaluaciónRiesgoCorrupR1!$F$11&gt;50,[25]EvaluaciónRiesgoCorrupR1!$F$11&lt;76,F19=5,H19=5),$H$28,IF(AND(L19&gt;0,[25]EvaluaciónRiesgoCorrupR1!$F$11&gt;50,[25]EvaluaciónRiesgoCorrupR1!$F$11&lt;76,F19=5,H19=10),$J$28,IF(AND(L19&gt;0,[25]EvaluaciónRiesgoCorrupR1!$F$11&gt;50,[25]EvaluaciónRiesgoCorrupR1!$F$11&lt;76,F19=5,H19=20),$K$28," ")))</f>
        <v xml:space="preserve"> </v>
      </c>
      <c r="AR19" s="28" t="str">
        <f>IF(AND(L19&gt;0,[25]EvaluaciónRiesgoCorrupR1!$F$11&lt;51,F19=1,H19=5),$H$25,IF(AND(L19&gt;0,[25]EvaluaciónRiesgoCorrupR1!$F$11&lt;51,F19=1,H19=10),$J$25,IF(AND(L19&gt;0,[25]EvaluaciónRiesgoCorrupR1!$F$11&lt;51,F19=1,H19=20),K$25," ")))</f>
        <v xml:space="preserve"> </v>
      </c>
      <c r="AS19" s="28" t="str">
        <f>IF(AND(L19&gt;0,[25]EvaluaciónRiesgoCorrupR1!$F$11&lt;51,F19=2,H19=5),$H$26,IF(AND(L19&gt;0,[25]EvaluaciónRiesgoCorrupR1!$F$11&lt;51,F19=2,H19=10),$J$26,IF(AND(L19&gt;0,[25]EvaluaciónRiesgoCorrupR1!$F$11&lt;51,F19=2,H19=20),K$26," ")))</f>
        <v xml:space="preserve"> </v>
      </c>
      <c r="AT19" s="28" t="str">
        <f>IF(AND(L19&gt;0,[25]EvaluaciónRiesgoCorrupR1!$F$11&lt;51,F19=3,H19=5),$H$27,IF(AND(L19&gt;0,[25]EvaluaciónRiesgoCorrupR1!$F$11&lt;51,F19=3,H19=10),$J$27,IF(AND(L19&gt;0,[25]EvaluaciónRiesgoCorrupR1!$F$11&lt;51,F19=3,H19=20),K$27," ")))</f>
        <v xml:space="preserve"> </v>
      </c>
      <c r="AU19" s="28" t="str">
        <f>IF(AND(L19&gt;0,[25]EvaluaciónRiesgoCorrupR1!$F$11&lt;51,F19=4,H19=5),$H$28,IF(AND(L19&gt;0,[25]EvaluaciónRiesgoCorrupR1!$F$11&lt;51,F19=4,H19=10),$J$28,IF(AND(L19&gt;0,[25]EvaluaciónRiesgoCorrupR1!$F$11&lt;51,F19=4,H19=20),K$28," ")))</f>
        <v xml:space="preserve"> </v>
      </c>
      <c r="AV19" s="28" t="str">
        <f>IF(AND(L19&gt;0,[25]EvaluaciónRiesgoCorrupR1!$F$11&lt;51,F19=5,H19=5),$H$29,IF(AND(L19&gt;0,[25]EvaluaciónRiesgoCorrupR1!$F$11&lt;51,F19=5,H19=10),$J$29,IF(AND(L19&gt;0,[25]EvaluaciónRiesgoCorrupR1!$F$11&lt;51,F19=5,H19=20),K$29," ")))</f>
        <v xml:space="preserve"> </v>
      </c>
      <c r="AZ19" s="28" t="str">
        <f>IF(AND(M19&gt;0,[25]EvaluaciónRiesgoCorrupR1!$F$11&gt;75,F19=1,H19=5),$H$25,IF(AND(M19&gt;0,[25]EvaluaciónRiesgoCorrupR1!$F$11&gt;75,F19=1,H19=10),$H$25,IF(AND(M19&gt;0,[25]EvaluaciónRiesgoCorrupR1!$F$11&gt;75,F19=1,H19=20),$H$25," ")))</f>
        <v xml:space="preserve"> </v>
      </c>
      <c r="BA19" s="28" t="str">
        <f>IF(AND(M19&gt;0,[25]EvaluaciónRiesgoCorrupR1!$F$11&gt;75,F19=2,H19=5),$H$26,IF(AND(M19&gt;0,[25]EvaluaciónRiesgoCorrupR1!$F$11&gt;75,F19=2,H19=10),$H$26,IF(AND(M19&gt;0,[25]EvaluaciónRiesgoCorrupR1!$F$11&gt;75,F19=2,H19=20),$H$26," ")))</f>
        <v xml:space="preserve"> </v>
      </c>
      <c r="BB19" s="28" t="str">
        <f>IF(AND(M19&gt;0,[25]EvaluaciónRiesgoCorrupR1!$F$11&gt;75,F19=3,H19=5),$H$27,IF(AND(M19&gt;0,[25]EvaluaciónRiesgoCorrupR1!$F$11&gt;75,F19=3,H19=10),$H$27,IF(AND(M19&gt;0,[25]EvaluaciónRiesgoCorrupR1!$F$11&gt;75,F19=3,H19=20),$H$27," ")))</f>
        <v xml:space="preserve"> </v>
      </c>
      <c r="BC19" s="28" t="str">
        <f>IF(AND(M19&gt;0,[25]EvaluaciónRiesgoCorrupR1!$F$11&gt;75,F19=4,H19=5),$H$28,IF(AND(M19&gt;0,[25]EvaluaciónRiesgoCorrupR1!$F$11&gt;75,F19=4,H19=10),$H$28,IF(AND(M19&gt;0,[25]EvaluaciónRiesgoCorrupR1!$F$11&gt;75,F19=4,H19=20),$H$28," ")))</f>
        <v xml:space="preserve"> </v>
      </c>
      <c r="BD19" s="28" t="str">
        <f>IF(AND(M19&gt;0,[25]EvaluaciónRiesgoCorrupR1!$F$11&gt;75,F19=5,H19=5),$H$29,IF(AND(M19&gt;0,[25]EvaluaciónRiesgoCorrupR1!$F$11&gt;75,F19=5,H19=10),$H$29,IF(AND(M19&gt;0,[25]EvaluaciónRiesgoCorrupR1!$F$11&gt;75,F19=5,H19=20),$H$29," ")))</f>
        <v xml:space="preserve"> </v>
      </c>
      <c r="BG19" s="28" t="str">
        <f>IF(AND(M19&gt;0,[25]EvaluaciónRiesgoCorrupR1!$F$11&gt;50,[25]EvaluaciónRiesgoCorrupR1!$F$11&lt;76,F19=1,H19=5),$H$25,IF(AND(M19&gt;0,[25]EvaluaciónRiesgoCorrupR1!$F$11&gt;50,[25]EvaluaciónRiesgoCorrupR1!$F$11&lt;76,F19=1,H19=10),$H$25,IF(AND(M19&gt;0,[25]EvaluaciónRiesgoCorrupR1!$F$11&gt;50,[25]EvaluaciónRiesgoCorrupR1!$F$11&lt;76,F19=1,H19=20),$J$25," ")))</f>
        <v xml:space="preserve"> </v>
      </c>
      <c r="BH19" s="28" t="str">
        <f>IF(AND(M19&gt;0,[25]EvaluaciónRiesgoCorrupR1!$F$11&gt;50,[25]EvaluaciónRiesgoCorrupR1!$F$11&lt;76,F19=2,H19=5),$H$26,IF(AND(M19&gt;0,[25]EvaluaciónRiesgoCorrupR1!$F$11&gt;50,[25]EvaluaciónRiesgoCorrupR1!$F$11&lt;76,F19=2,H19=10),$H$26,IF(AND(M19&gt;0,[25]EvaluaciónRiesgoCorrupR1!$F$11&gt;50,[25]EvaluaciónRiesgoCorrupR1!$F$11&lt;76,F19=2,H19=20),$J$26," ")))</f>
        <v xml:space="preserve"> </v>
      </c>
      <c r="BI19" s="28" t="str">
        <f>IF(AND(M19&gt;0,[25]EvaluaciónRiesgoCorrupR1!$F$11&gt;50,[25]EvaluaciónRiesgoCorrupR1!$F$11&lt;76,F19=3,H19=5),$H$27,IF(AND(M19&gt;0,[25]EvaluaciónRiesgoCorrupR1!$F$11&gt;50,[25]EvaluaciónRiesgoCorrupR1!$F$11&lt;76,F19=3,H19=10),$H$27,IF(AND(M19&gt;0,[25]EvaluaciónRiesgoCorrupR1!$F$11&gt;50,[25]EvaluaciónRiesgoCorrupR1!$F$11&lt;76,F19=3,H19=20),$J$27," ")))</f>
        <v xml:space="preserve"> </v>
      </c>
      <c r="BJ19" s="28" t="str">
        <f>IF(AND(M19&gt;0,[25]EvaluaciónRiesgoCorrupR1!$F$11&gt;50,[25]EvaluaciónRiesgoCorrupR1!$F$11&lt;76,F19=4,H19=5),$H$28,IF(AND(M19&gt;0,[25]EvaluaciónRiesgoCorrupR1!$F$11&gt;50,[25]EvaluaciónRiesgoCorrupR1!$F$11&lt;76,F19=4,H19=10),$H$28,IF(AND(M19&gt;0,[25]EvaluaciónRiesgoCorrupR1!$F$11&gt;50,[25]EvaluaciónRiesgoCorrupR1!$F$11&lt;76,F19=4,H19=20),$J$28," ")))</f>
        <v xml:space="preserve"> </v>
      </c>
      <c r="BK19" s="28" t="str">
        <f>IF(AND(M19&gt;0,[25]EvaluaciónRiesgoCorrupR1!$F$11&gt;50,[25]EvaluaciónRiesgoCorrupR1!$F$11&lt;76,F19=5,H19=5),$H$29,IF(AND(M19&gt;0,[25]EvaluaciónRiesgoCorrupR1!$F$11&gt;50,[25]EvaluaciónRiesgoCorrupR1!$F$11&lt;76,F19=5,H19=10),$H$29,IF(AND(M19&gt;0,[25]EvaluaciónRiesgoCorrupR1!$F$11&gt;50,[25]EvaluaciónRiesgoCorrupR1!$F$11&lt;76,F19=5,H19=20),$J$29," ")))</f>
        <v xml:space="preserve"> </v>
      </c>
      <c r="BN19" s="28" t="str">
        <f>IF(AND(M19&gt;0,[25]EvaluaciónRiesgoCorrupR1!$F$11&lt;51,F19=1,H19=5),$H$25,IF(AND(M19&gt;0,[25]EvaluaciónRiesgoCorrupR1!$F$11&lt;51,F19=1,H19=10),$J$25,IF(AND(M19&gt;0,[25]EvaluaciónRiesgoCorrupR1!$F$11&lt;51,F19=1,H19=20),$K$25," ")))</f>
        <v xml:space="preserve"> </v>
      </c>
      <c r="BO19" s="28" t="str">
        <f>IF(AND(M19&gt;0,[25]EvaluaciónRiesgoCorrupR1!$F$11&lt;51,F19=2,H19=5),$H$26,IF(AND(M19&gt;0,[25]EvaluaciónRiesgoCorrupR1!$F$11&lt;51,F19=2,H19=10),$J$26,IF(AND(M19&gt;0,[25]EvaluaciónRiesgoCorrupR1!$F$11&lt;51,F19=2,H19=20),$K$26," ")))</f>
        <v xml:space="preserve"> </v>
      </c>
      <c r="BP19" s="28" t="str">
        <f>IF(AND(M19&gt;0,[25]EvaluaciónRiesgoCorrupR1!$F$11&lt;51,F19=3,H19=5),$H$27,IF(AND(M19&gt;0,[25]EvaluaciónRiesgoCorrupR1!$F$11&lt;51,F19=3,H19=10),$J$27,IF(AND(M19&gt;0,[25]EvaluaciónRiesgoCorrupR1!$F$11&lt;51,F19=3,H19=20),$K$27," ")))</f>
        <v xml:space="preserve"> </v>
      </c>
      <c r="BQ19" s="28" t="str">
        <f>IF(AND(M19&gt;0,[25]EvaluaciónRiesgoCorrupR1!$F$11&lt;51,F19=4,H19=5),$H$28,IF(AND(M19&gt;0,[25]EvaluaciónRiesgoCorrupR1!$F$11&lt;51,F19=4,H19=10),$J$28,IF(AND(M19&gt;0,[25]EvaluaciónRiesgoCorrupR1!$F$11&lt;51,F19=4,H19=20),$K$28," ")))</f>
        <v xml:space="preserve"> </v>
      </c>
      <c r="BR19" s="28" t="str">
        <f>IF(AND(M19&gt;0,[25]EvaluaciónRiesgoCorrupR1!$F$11&lt;51,F19=5,H19=5),$H$29,IF(AND(M19&gt;0,[25]EvaluaciónRiesgoCorrupR1!$F$11&lt;51,F19=5,H19=10),$J$29,IF(AND(M19&gt;0,[25]EvaluaciónRiesgoCorrupR1!$F$11&lt;51,F19=5,H19=20),$K$29," ")))</f>
        <v xml:space="preserve"> </v>
      </c>
    </row>
    <row r="20" spans="1:70" ht="27" customHeight="1" x14ac:dyDescent="0.35">
      <c r="A20" s="31"/>
      <c r="B20" s="22"/>
      <c r="C20" s="408"/>
      <c r="D20" s="22"/>
      <c r="E20" s="99"/>
    </row>
    <row r="21" spans="1:70" x14ac:dyDescent="0.35">
      <c r="A21" s="28"/>
      <c r="B21" s="30"/>
      <c r="C21" s="410"/>
      <c r="D21" s="30"/>
      <c r="E21" s="423"/>
    </row>
    <row r="22" spans="1:70" ht="14.5" thickBot="1" x14ac:dyDescent="0.4">
      <c r="A22" s="28"/>
      <c r="B22" s="30"/>
      <c r="C22" s="410"/>
      <c r="D22" s="30"/>
      <c r="E22" s="423"/>
      <c r="H22" s="32"/>
      <c r="I22" s="424"/>
      <c r="J22" s="32"/>
    </row>
    <row r="23" spans="1:70" ht="14.5" thickBot="1" x14ac:dyDescent="0.4">
      <c r="A23" s="6"/>
      <c r="B23" s="33"/>
      <c r="C23" s="423"/>
      <c r="D23" s="33"/>
      <c r="E23" s="423"/>
      <c r="F23" s="1019" t="s">
        <v>26</v>
      </c>
      <c r="G23" s="84"/>
      <c r="H23" s="1021" t="s">
        <v>10</v>
      </c>
      <c r="I23" s="1021"/>
      <c r="J23" s="1021"/>
      <c r="K23" s="1022"/>
      <c r="L23" s="2"/>
      <c r="Q23" s="5"/>
      <c r="S23" s="2"/>
    </row>
    <row r="24" spans="1:70" ht="32.25" customHeight="1" thickBot="1" x14ac:dyDescent="0.4">
      <c r="A24" s="5"/>
      <c r="B24" s="34" t="s">
        <v>42</v>
      </c>
      <c r="C24" s="411"/>
      <c r="D24" s="34"/>
      <c r="E24" s="411"/>
      <c r="F24" s="1020"/>
      <c r="G24" s="429"/>
      <c r="H24" s="35" t="s">
        <v>43</v>
      </c>
      <c r="I24" s="412"/>
      <c r="J24" s="36" t="s">
        <v>44</v>
      </c>
      <c r="K24" s="35" t="s">
        <v>45</v>
      </c>
      <c r="L24" s="2"/>
      <c r="Q24" s="5"/>
      <c r="S24" s="2"/>
    </row>
    <row r="25" spans="1:70" ht="14.5" thickBot="1" x14ac:dyDescent="0.4">
      <c r="B25" s="5" t="s">
        <v>46</v>
      </c>
      <c r="C25" s="402"/>
      <c r="F25" s="37" t="s">
        <v>47</v>
      </c>
      <c r="G25" s="413"/>
      <c r="H25" s="38" t="s">
        <v>48</v>
      </c>
      <c r="I25" s="414"/>
      <c r="J25" s="38" t="s">
        <v>48</v>
      </c>
      <c r="K25" s="39" t="s">
        <v>49</v>
      </c>
      <c r="L25" s="2"/>
      <c r="Q25" s="5"/>
      <c r="S25" s="2"/>
    </row>
    <row r="26" spans="1:70" ht="14.5" thickBot="1" x14ac:dyDescent="0.4">
      <c r="F26" s="37" t="s">
        <v>50</v>
      </c>
      <c r="G26" s="413"/>
      <c r="H26" s="38" t="s">
        <v>48</v>
      </c>
      <c r="I26" s="414"/>
      <c r="J26" s="39" t="s">
        <v>49</v>
      </c>
      <c r="K26" s="40" t="s">
        <v>51</v>
      </c>
      <c r="L26" s="2"/>
      <c r="Q26" s="5"/>
      <c r="S26" s="2"/>
    </row>
    <row r="27" spans="1:70" ht="14.5" thickBot="1" x14ac:dyDescent="0.4">
      <c r="F27" s="37" t="s">
        <v>52</v>
      </c>
      <c r="G27" s="413"/>
      <c r="H27" s="39" t="s">
        <v>49</v>
      </c>
      <c r="I27" s="415"/>
      <c r="J27" s="40" t="s">
        <v>51</v>
      </c>
      <c r="K27" s="41" t="s">
        <v>53</v>
      </c>
      <c r="L27" s="2"/>
      <c r="Q27" s="5"/>
      <c r="S27" s="2"/>
    </row>
    <row r="28" spans="1:70" ht="14.5" thickBot="1" x14ac:dyDescent="0.4">
      <c r="F28" s="37" t="s">
        <v>54</v>
      </c>
      <c r="G28" s="413"/>
      <c r="H28" s="39" t="s">
        <v>49</v>
      </c>
      <c r="I28" s="415"/>
      <c r="J28" s="40" t="s">
        <v>51</v>
      </c>
      <c r="K28" s="41" t="s">
        <v>53</v>
      </c>
      <c r="L28" s="2"/>
      <c r="Q28" s="5"/>
      <c r="S28" s="2"/>
    </row>
    <row r="29" spans="1:70" ht="14.5" thickBot="1" x14ac:dyDescent="0.4">
      <c r="F29" s="37" t="s">
        <v>55</v>
      </c>
      <c r="G29" s="413"/>
      <c r="H29" s="39" t="s">
        <v>49</v>
      </c>
      <c r="I29" s="415"/>
      <c r="J29" s="40" t="s">
        <v>51</v>
      </c>
      <c r="K29" s="41" t="s">
        <v>53</v>
      </c>
      <c r="L29" s="2"/>
      <c r="Q29" s="5"/>
      <c r="S29" s="2"/>
    </row>
    <row r="30" spans="1:70" x14ac:dyDescent="0.35">
      <c r="F30" s="2"/>
      <c r="G30" s="399"/>
      <c r="H30" s="2"/>
      <c r="I30" s="399"/>
      <c r="J30" s="2"/>
      <c r="K30" s="5"/>
      <c r="M30" s="5"/>
    </row>
    <row r="31" spans="1:70" x14ac:dyDescent="0.35">
      <c r="F31" s="42" t="s">
        <v>56</v>
      </c>
      <c r="G31" s="416"/>
      <c r="H31" s="2"/>
      <c r="I31" s="399"/>
      <c r="J31" s="2"/>
      <c r="K31" s="5"/>
      <c r="M31" s="5"/>
      <c r="N31" s="5"/>
      <c r="O31" s="402"/>
      <c r="P31" s="5"/>
    </row>
    <row r="32" spans="1:70" x14ac:dyDescent="0.35">
      <c r="F32" s="43" t="s">
        <v>57</v>
      </c>
      <c r="G32" s="417"/>
      <c r="H32" s="2"/>
      <c r="I32" s="399"/>
      <c r="J32" s="2"/>
      <c r="K32" s="5"/>
      <c r="M32" s="5"/>
      <c r="N32" s="5"/>
      <c r="O32" s="402"/>
      <c r="P32" s="5"/>
    </row>
    <row r="33" spans="6:16" x14ac:dyDescent="0.35">
      <c r="F33" s="44" t="s">
        <v>58</v>
      </c>
      <c r="G33" s="418"/>
      <c r="H33" s="2"/>
      <c r="I33" s="399"/>
      <c r="J33" s="2"/>
      <c r="K33" s="5"/>
      <c r="M33" s="5"/>
      <c r="N33" s="5"/>
      <c r="O33" s="402"/>
      <c r="P33" s="5"/>
    </row>
    <row r="34" spans="6:16" x14ac:dyDescent="0.35">
      <c r="F34" s="45" t="s">
        <v>59</v>
      </c>
      <c r="G34" s="419"/>
      <c r="H34" s="2"/>
      <c r="I34" s="399"/>
      <c r="J34" s="2"/>
      <c r="K34" s="5"/>
      <c r="M34" s="5"/>
      <c r="N34" s="5"/>
      <c r="O34" s="402"/>
      <c r="P34" s="5"/>
    </row>
  </sheetData>
  <mergeCells count="37">
    <mergeCell ref="T15:T16"/>
    <mergeCell ref="U15:U16"/>
    <mergeCell ref="V15:V16"/>
    <mergeCell ref="F23:F24"/>
    <mergeCell ref="H23:K23"/>
    <mergeCell ref="P15:R15"/>
    <mergeCell ref="L17:M17"/>
    <mergeCell ref="L18:M18"/>
    <mergeCell ref="L19:M19"/>
    <mergeCell ref="A12:D12"/>
    <mergeCell ref="F12:V12"/>
    <mergeCell ref="AG13:AY13"/>
    <mergeCell ref="BA13:BT13"/>
    <mergeCell ref="A14:D14"/>
    <mergeCell ref="F14:H14"/>
    <mergeCell ref="K14:K16"/>
    <mergeCell ref="L14:N14"/>
    <mergeCell ref="P14:R14"/>
    <mergeCell ref="S14:V14"/>
    <mergeCell ref="A15:A16"/>
    <mergeCell ref="B15:B16"/>
    <mergeCell ref="D15:D16"/>
    <mergeCell ref="F15:H15"/>
    <mergeCell ref="L15:N15"/>
    <mergeCell ref="S15:S16"/>
    <mergeCell ref="A6:D6"/>
    <mergeCell ref="F6:V6"/>
    <mergeCell ref="A8:D8"/>
    <mergeCell ref="F8:V8"/>
    <mergeCell ref="A10:D10"/>
    <mergeCell ref="F10:V10"/>
    <mergeCell ref="A1:D4"/>
    <mergeCell ref="F1:T4"/>
    <mergeCell ref="U1:V1"/>
    <mergeCell ref="U2:V2"/>
    <mergeCell ref="U3:V3"/>
    <mergeCell ref="U4:V4"/>
  </mergeCells>
  <conditionalFormatting sqref="J17:J19 N17:O19">
    <cfRule type="containsText" dxfId="7" priority="1" operator="containsText" text="E">
      <formula>NOT(ISERROR(SEARCH("E",J17)))</formula>
    </cfRule>
    <cfRule type="containsText" dxfId="6" priority="2" operator="containsText" text="M">
      <formula>NOT(ISERROR(SEARCH("M",J17)))</formula>
    </cfRule>
    <cfRule type="containsText" dxfId="5" priority="3" operator="containsText" text="A">
      <formula>NOT(ISERROR(SEARCH("A",J17)))</formula>
    </cfRule>
    <cfRule type="containsText" dxfId="4" priority="4" operator="containsText" text="B">
      <formula>NOT(ISERROR(SEARCH("B",J17)))</formula>
    </cfRule>
  </conditionalFormatting>
  <dataValidations count="3">
    <dataValidation type="list" allowBlank="1" showInputMessage="1" showErrorMessage="1" sqref="L20:O20">
      <formula1>#REF!</formula1>
    </dataValidation>
    <dataValidation type="list" allowBlank="1" showInputMessage="1" showErrorMessage="1" sqref="P20:Q20">
      <formula1>$J$31:$J$34</formula1>
    </dataValidation>
    <dataValidation type="list" allowBlank="1" showInputMessage="1" showErrorMessage="1" promptTitle="AFECTA A:" prompt="Seleccione según a quien afecte el control" sqref="L19:M19">
      <formula1>$XFD$2:$XFD$3</formula1>
    </dataValidation>
  </dataValidations>
  <pageMargins left="0.7" right="0.7" top="0.75" bottom="0.75" header="0.3" footer="0.3"/>
  <pageSetup scale="1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42"/>
  <sheetViews>
    <sheetView showGridLines="0" tabSelected="1" view="pageBreakPreview" zoomScale="60" zoomScaleNormal="60" workbookViewId="0">
      <selection activeCell="F8" sqref="F8:V8"/>
    </sheetView>
  </sheetViews>
  <sheetFormatPr baseColWidth="10" defaultRowHeight="14" x14ac:dyDescent="0.35"/>
  <cols>
    <col min="1" max="1" width="41.26953125" style="2" customWidth="1"/>
    <col min="2" max="2" width="40.453125" style="2" customWidth="1"/>
    <col min="3" max="3" width="40.453125" style="399" customWidth="1"/>
    <col min="4" max="4" width="40.453125" style="2" customWidth="1"/>
    <col min="5" max="5" width="40.453125" style="399" customWidth="1"/>
    <col min="6" max="6" width="27" style="5" customWidth="1"/>
    <col min="7" max="7" width="27" style="402" customWidth="1"/>
    <col min="8" max="8" width="19" style="5" customWidth="1"/>
    <col min="9" max="9" width="19" style="402" customWidth="1"/>
    <col min="10" max="10" width="26.7265625" style="5" customWidth="1"/>
    <col min="11" max="11" width="31.54296875" style="2" customWidth="1"/>
    <col min="12" max="12" width="17.7265625" style="5" customWidth="1"/>
    <col min="13" max="13" width="18.54296875" style="2" customWidth="1"/>
    <col min="14" max="14" width="21.7265625" style="2" customWidth="1"/>
    <col min="15" max="15" width="21.7265625" style="399" customWidth="1"/>
    <col min="16" max="16" width="19.81640625" style="2" customWidth="1"/>
    <col min="17" max="17" width="34.1796875" style="2" customWidth="1"/>
    <col min="18" max="18" width="17" style="2" customWidth="1"/>
    <col min="19" max="19" width="36.453125" style="5" customWidth="1"/>
    <col min="20" max="20" width="109.1796875" style="2" customWidth="1"/>
    <col min="21" max="21" width="30.453125" style="2" customWidth="1"/>
    <col min="22" max="22" width="60.1796875" style="2" customWidth="1"/>
    <col min="23" max="23" width="30.453125" style="2" customWidth="1"/>
    <col min="24" max="24" width="36" style="2" hidden="1" customWidth="1"/>
    <col min="25" max="73" width="11.453125" style="2" hidden="1" customWidth="1"/>
    <col min="74" max="261" width="11.453125" style="2"/>
    <col min="262" max="262" width="41.26953125" style="2" customWidth="1"/>
    <col min="263" max="264" width="40.453125" style="2" customWidth="1"/>
    <col min="265" max="265" width="27" style="2" customWidth="1"/>
    <col min="266" max="266" width="19" style="2" customWidth="1"/>
    <col min="267" max="267" width="26.7265625" style="2" customWidth="1"/>
    <col min="268" max="268" width="31.54296875" style="2" customWidth="1"/>
    <col min="269" max="269" width="17.7265625" style="2" customWidth="1"/>
    <col min="270" max="270" width="18.54296875" style="2" customWidth="1"/>
    <col min="271" max="271" width="21.7265625" style="2" customWidth="1"/>
    <col min="272" max="272" width="19.81640625" style="2" customWidth="1"/>
    <col min="273" max="273" width="34.1796875" style="2" customWidth="1"/>
    <col min="274" max="274" width="17" style="2" customWidth="1"/>
    <col min="275" max="275" width="36.453125" style="2" customWidth="1"/>
    <col min="276" max="276" width="26.54296875" style="2" customWidth="1"/>
    <col min="277" max="279" width="30.453125" style="2" customWidth="1"/>
    <col min="280" max="329" width="0" style="2" hidden="1" customWidth="1"/>
    <col min="330" max="517" width="11.453125" style="2"/>
    <col min="518" max="518" width="41.26953125" style="2" customWidth="1"/>
    <col min="519" max="520" width="40.453125" style="2" customWidth="1"/>
    <col min="521" max="521" width="27" style="2" customWidth="1"/>
    <col min="522" max="522" width="19" style="2" customWidth="1"/>
    <col min="523" max="523" width="26.7265625" style="2" customWidth="1"/>
    <col min="524" max="524" width="31.54296875" style="2" customWidth="1"/>
    <col min="525" max="525" width="17.7265625" style="2" customWidth="1"/>
    <col min="526" max="526" width="18.54296875" style="2" customWidth="1"/>
    <col min="527" max="527" width="21.7265625" style="2" customWidth="1"/>
    <col min="528" max="528" width="19.81640625" style="2" customWidth="1"/>
    <col min="529" max="529" width="34.1796875" style="2" customWidth="1"/>
    <col min="530" max="530" width="17" style="2" customWidth="1"/>
    <col min="531" max="531" width="36.453125" style="2" customWidth="1"/>
    <col min="532" max="532" width="26.54296875" style="2" customWidth="1"/>
    <col min="533" max="535" width="30.453125" style="2" customWidth="1"/>
    <col min="536" max="585" width="0" style="2" hidden="1" customWidth="1"/>
    <col min="586" max="773" width="11.453125" style="2"/>
    <col min="774" max="774" width="41.26953125" style="2" customWidth="1"/>
    <col min="775" max="776" width="40.453125" style="2" customWidth="1"/>
    <col min="777" max="777" width="27" style="2" customWidth="1"/>
    <col min="778" max="778" width="19" style="2" customWidth="1"/>
    <col min="779" max="779" width="26.7265625" style="2" customWidth="1"/>
    <col min="780" max="780" width="31.54296875" style="2" customWidth="1"/>
    <col min="781" max="781" width="17.7265625" style="2" customWidth="1"/>
    <col min="782" max="782" width="18.54296875" style="2" customWidth="1"/>
    <col min="783" max="783" width="21.7265625" style="2" customWidth="1"/>
    <col min="784" max="784" width="19.81640625" style="2" customWidth="1"/>
    <col min="785" max="785" width="34.1796875" style="2" customWidth="1"/>
    <col min="786" max="786" width="17" style="2" customWidth="1"/>
    <col min="787" max="787" width="36.453125" style="2" customWidth="1"/>
    <col min="788" max="788" width="26.54296875" style="2" customWidth="1"/>
    <col min="789" max="791" width="30.453125" style="2" customWidth="1"/>
    <col min="792" max="841" width="0" style="2" hidden="1" customWidth="1"/>
    <col min="842" max="1029" width="11.453125" style="2"/>
    <col min="1030" max="1030" width="41.26953125" style="2" customWidth="1"/>
    <col min="1031" max="1032" width="40.453125" style="2" customWidth="1"/>
    <col min="1033" max="1033" width="27" style="2" customWidth="1"/>
    <col min="1034" max="1034" width="19" style="2" customWidth="1"/>
    <col min="1035" max="1035" width="26.7265625" style="2" customWidth="1"/>
    <col min="1036" max="1036" width="31.54296875" style="2" customWidth="1"/>
    <col min="1037" max="1037" width="17.7265625" style="2" customWidth="1"/>
    <col min="1038" max="1038" width="18.54296875" style="2" customWidth="1"/>
    <col min="1039" max="1039" width="21.7265625" style="2" customWidth="1"/>
    <col min="1040" max="1040" width="19.81640625" style="2" customWidth="1"/>
    <col min="1041" max="1041" width="34.1796875" style="2" customWidth="1"/>
    <col min="1042" max="1042" width="17" style="2" customWidth="1"/>
    <col min="1043" max="1043" width="36.453125" style="2" customWidth="1"/>
    <col min="1044" max="1044" width="26.54296875" style="2" customWidth="1"/>
    <col min="1045" max="1047" width="30.453125" style="2" customWidth="1"/>
    <col min="1048" max="1097" width="0" style="2" hidden="1" customWidth="1"/>
    <col min="1098" max="1285" width="11.453125" style="2"/>
    <col min="1286" max="1286" width="41.26953125" style="2" customWidth="1"/>
    <col min="1287" max="1288" width="40.453125" style="2" customWidth="1"/>
    <col min="1289" max="1289" width="27" style="2" customWidth="1"/>
    <col min="1290" max="1290" width="19" style="2" customWidth="1"/>
    <col min="1291" max="1291" width="26.7265625" style="2" customWidth="1"/>
    <col min="1292" max="1292" width="31.54296875" style="2" customWidth="1"/>
    <col min="1293" max="1293" width="17.7265625" style="2" customWidth="1"/>
    <col min="1294" max="1294" width="18.54296875" style="2" customWidth="1"/>
    <col min="1295" max="1295" width="21.7265625" style="2" customWidth="1"/>
    <col min="1296" max="1296" width="19.81640625" style="2" customWidth="1"/>
    <col min="1297" max="1297" width="34.1796875" style="2" customWidth="1"/>
    <col min="1298" max="1298" width="17" style="2" customWidth="1"/>
    <col min="1299" max="1299" width="36.453125" style="2" customWidth="1"/>
    <col min="1300" max="1300" width="26.54296875" style="2" customWidth="1"/>
    <col min="1301" max="1303" width="30.453125" style="2" customWidth="1"/>
    <col min="1304" max="1353" width="0" style="2" hidden="1" customWidth="1"/>
    <col min="1354" max="1541" width="11.453125" style="2"/>
    <col min="1542" max="1542" width="41.26953125" style="2" customWidth="1"/>
    <col min="1543" max="1544" width="40.453125" style="2" customWidth="1"/>
    <col min="1545" max="1545" width="27" style="2" customWidth="1"/>
    <col min="1546" max="1546" width="19" style="2" customWidth="1"/>
    <col min="1547" max="1547" width="26.7265625" style="2" customWidth="1"/>
    <col min="1548" max="1548" width="31.54296875" style="2" customWidth="1"/>
    <col min="1549" max="1549" width="17.7265625" style="2" customWidth="1"/>
    <col min="1550" max="1550" width="18.54296875" style="2" customWidth="1"/>
    <col min="1551" max="1551" width="21.7265625" style="2" customWidth="1"/>
    <col min="1552" max="1552" width="19.81640625" style="2" customWidth="1"/>
    <col min="1553" max="1553" width="34.1796875" style="2" customWidth="1"/>
    <col min="1554" max="1554" width="17" style="2" customWidth="1"/>
    <col min="1555" max="1555" width="36.453125" style="2" customWidth="1"/>
    <col min="1556" max="1556" width="26.54296875" style="2" customWidth="1"/>
    <col min="1557" max="1559" width="30.453125" style="2" customWidth="1"/>
    <col min="1560" max="1609" width="0" style="2" hidden="1" customWidth="1"/>
    <col min="1610" max="1797" width="11.453125" style="2"/>
    <col min="1798" max="1798" width="41.26953125" style="2" customWidth="1"/>
    <col min="1799" max="1800" width="40.453125" style="2" customWidth="1"/>
    <col min="1801" max="1801" width="27" style="2" customWidth="1"/>
    <col min="1802" max="1802" width="19" style="2" customWidth="1"/>
    <col min="1803" max="1803" width="26.7265625" style="2" customWidth="1"/>
    <col min="1804" max="1804" width="31.54296875" style="2" customWidth="1"/>
    <col min="1805" max="1805" width="17.7265625" style="2" customWidth="1"/>
    <col min="1806" max="1806" width="18.54296875" style="2" customWidth="1"/>
    <col min="1807" max="1807" width="21.7265625" style="2" customWidth="1"/>
    <col min="1808" max="1808" width="19.81640625" style="2" customWidth="1"/>
    <col min="1809" max="1809" width="34.1796875" style="2" customWidth="1"/>
    <col min="1810" max="1810" width="17" style="2" customWidth="1"/>
    <col min="1811" max="1811" width="36.453125" style="2" customWidth="1"/>
    <col min="1812" max="1812" width="26.54296875" style="2" customWidth="1"/>
    <col min="1813" max="1815" width="30.453125" style="2" customWidth="1"/>
    <col min="1816" max="1865" width="0" style="2" hidden="1" customWidth="1"/>
    <col min="1866" max="2053" width="11.453125" style="2"/>
    <col min="2054" max="2054" width="41.26953125" style="2" customWidth="1"/>
    <col min="2055" max="2056" width="40.453125" style="2" customWidth="1"/>
    <col min="2057" max="2057" width="27" style="2" customWidth="1"/>
    <col min="2058" max="2058" width="19" style="2" customWidth="1"/>
    <col min="2059" max="2059" width="26.7265625" style="2" customWidth="1"/>
    <col min="2060" max="2060" width="31.54296875" style="2" customWidth="1"/>
    <col min="2061" max="2061" width="17.7265625" style="2" customWidth="1"/>
    <col min="2062" max="2062" width="18.54296875" style="2" customWidth="1"/>
    <col min="2063" max="2063" width="21.7265625" style="2" customWidth="1"/>
    <col min="2064" max="2064" width="19.81640625" style="2" customWidth="1"/>
    <col min="2065" max="2065" width="34.1796875" style="2" customWidth="1"/>
    <col min="2066" max="2066" width="17" style="2" customWidth="1"/>
    <col min="2067" max="2067" width="36.453125" style="2" customWidth="1"/>
    <col min="2068" max="2068" width="26.54296875" style="2" customWidth="1"/>
    <col min="2069" max="2071" width="30.453125" style="2" customWidth="1"/>
    <col min="2072" max="2121" width="0" style="2" hidden="1" customWidth="1"/>
    <col min="2122" max="2309" width="11.453125" style="2"/>
    <col min="2310" max="2310" width="41.26953125" style="2" customWidth="1"/>
    <col min="2311" max="2312" width="40.453125" style="2" customWidth="1"/>
    <col min="2313" max="2313" width="27" style="2" customWidth="1"/>
    <col min="2314" max="2314" width="19" style="2" customWidth="1"/>
    <col min="2315" max="2315" width="26.7265625" style="2" customWidth="1"/>
    <col min="2316" max="2316" width="31.54296875" style="2" customWidth="1"/>
    <col min="2317" max="2317" width="17.7265625" style="2" customWidth="1"/>
    <col min="2318" max="2318" width="18.54296875" style="2" customWidth="1"/>
    <col min="2319" max="2319" width="21.7265625" style="2" customWidth="1"/>
    <col min="2320" max="2320" width="19.81640625" style="2" customWidth="1"/>
    <col min="2321" max="2321" width="34.1796875" style="2" customWidth="1"/>
    <col min="2322" max="2322" width="17" style="2" customWidth="1"/>
    <col min="2323" max="2323" width="36.453125" style="2" customWidth="1"/>
    <col min="2324" max="2324" width="26.54296875" style="2" customWidth="1"/>
    <col min="2325" max="2327" width="30.453125" style="2" customWidth="1"/>
    <col min="2328" max="2377" width="0" style="2" hidden="1" customWidth="1"/>
    <col min="2378" max="2565" width="11.453125" style="2"/>
    <col min="2566" max="2566" width="41.26953125" style="2" customWidth="1"/>
    <col min="2567" max="2568" width="40.453125" style="2" customWidth="1"/>
    <col min="2569" max="2569" width="27" style="2" customWidth="1"/>
    <col min="2570" max="2570" width="19" style="2" customWidth="1"/>
    <col min="2571" max="2571" width="26.7265625" style="2" customWidth="1"/>
    <col min="2572" max="2572" width="31.54296875" style="2" customWidth="1"/>
    <col min="2573" max="2573" width="17.7265625" style="2" customWidth="1"/>
    <col min="2574" max="2574" width="18.54296875" style="2" customWidth="1"/>
    <col min="2575" max="2575" width="21.7265625" style="2" customWidth="1"/>
    <col min="2576" max="2576" width="19.81640625" style="2" customWidth="1"/>
    <col min="2577" max="2577" width="34.1796875" style="2" customWidth="1"/>
    <col min="2578" max="2578" width="17" style="2" customWidth="1"/>
    <col min="2579" max="2579" width="36.453125" style="2" customWidth="1"/>
    <col min="2580" max="2580" width="26.54296875" style="2" customWidth="1"/>
    <col min="2581" max="2583" width="30.453125" style="2" customWidth="1"/>
    <col min="2584" max="2633" width="0" style="2" hidden="1" customWidth="1"/>
    <col min="2634" max="2821" width="11.453125" style="2"/>
    <col min="2822" max="2822" width="41.26953125" style="2" customWidth="1"/>
    <col min="2823" max="2824" width="40.453125" style="2" customWidth="1"/>
    <col min="2825" max="2825" width="27" style="2" customWidth="1"/>
    <col min="2826" max="2826" width="19" style="2" customWidth="1"/>
    <col min="2827" max="2827" width="26.7265625" style="2" customWidth="1"/>
    <col min="2828" max="2828" width="31.54296875" style="2" customWidth="1"/>
    <col min="2829" max="2829" width="17.7265625" style="2" customWidth="1"/>
    <col min="2830" max="2830" width="18.54296875" style="2" customWidth="1"/>
    <col min="2831" max="2831" width="21.7265625" style="2" customWidth="1"/>
    <col min="2832" max="2832" width="19.81640625" style="2" customWidth="1"/>
    <col min="2833" max="2833" width="34.1796875" style="2" customWidth="1"/>
    <col min="2834" max="2834" width="17" style="2" customWidth="1"/>
    <col min="2835" max="2835" width="36.453125" style="2" customWidth="1"/>
    <col min="2836" max="2836" width="26.54296875" style="2" customWidth="1"/>
    <col min="2837" max="2839" width="30.453125" style="2" customWidth="1"/>
    <col min="2840" max="2889" width="0" style="2" hidden="1" customWidth="1"/>
    <col min="2890" max="3077" width="11.453125" style="2"/>
    <col min="3078" max="3078" width="41.26953125" style="2" customWidth="1"/>
    <col min="3079" max="3080" width="40.453125" style="2" customWidth="1"/>
    <col min="3081" max="3081" width="27" style="2" customWidth="1"/>
    <col min="3082" max="3082" width="19" style="2" customWidth="1"/>
    <col min="3083" max="3083" width="26.7265625" style="2" customWidth="1"/>
    <col min="3084" max="3084" width="31.54296875" style="2" customWidth="1"/>
    <col min="3085" max="3085" width="17.7265625" style="2" customWidth="1"/>
    <col min="3086" max="3086" width="18.54296875" style="2" customWidth="1"/>
    <col min="3087" max="3087" width="21.7265625" style="2" customWidth="1"/>
    <col min="3088" max="3088" width="19.81640625" style="2" customWidth="1"/>
    <col min="3089" max="3089" width="34.1796875" style="2" customWidth="1"/>
    <col min="3090" max="3090" width="17" style="2" customWidth="1"/>
    <col min="3091" max="3091" width="36.453125" style="2" customWidth="1"/>
    <col min="3092" max="3092" width="26.54296875" style="2" customWidth="1"/>
    <col min="3093" max="3095" width="30.453125" style="2" customWidth="1"/>
    <col min="3096" max="3145" width="0" style="2" hidden="1" customWidth="1"/>
    <col min="3146" max="3333" width="11.453125" style="2"/>
    <col min="3334" max="3334" width="41.26953125" style="2" customWidth="1"/>
    <col min="3335" max="3336" width="40.453125" style="2" customWidth="1"/>
    <col min="3337" max="3337" width="27" style="2" customWidth="1"/>
    <col min="3338" max="3338" width="19" style="2" customWidth="1"/>
    <col min="3339" max="3339" width="26.7265625" style="2" customWidth="1"/>
    <col min="3340" max="3340" width="31.54296875" style="2" customWidth="1"/>
    <col min="3341" max="3341" width="17.7265625" style="2" customWidth="1"/>
    <col min="3342" max="3342" width="18.54296875" style="2" customWidth="1"/>
    <col min="3343" max="3343" width="21.7265625" style="2" customWidth="1"/>
    <col min="3344" max="3344" width="19.81640625" style="2" customWidth="1"/>
    <col min="3345" max="3345" width="34.1796875" style="2" customWidth="1"/>
    <col min="3346" max="3346" width="17" style="2" customWidth="1"/>
    <col min="3347" max="3347" width="36.453125" style="2" customWidth="1"/>
    <col min="3348" max="3348" width="26.54296875" style="2" customWidth="1"/>
    <col min="3349" max="3351" width="30.453125" style="2" customWidth="1"/>
    <col min="3352" max="3401" width="0" style="2" hidden="1" customWidth="1"/>
    <col min="3402" max="3589" width="11.453125" style="2"/>
    <col min="3590" max="3590" width="41.26953125" style="2" customWidth="1"/>
    <col min="3591" max="3592" width="40.453125" style="2" customWidth="1"/>
    <col min="3593" max="3593" width="27" style="2" customWidth="1"/>
    <col min="3594" max="3594" width="19" style="2" customWidth="1"/>
    <col min="3595" max="3595" width="26.7265625" style="2" customWidth="1"/>
    <col min="3596" max="3596" width="31.54296875" style="2" customWidth="1"/>
    <col min="3597" max="3597" width="17.7265625" style="2" customWidth="1"/>
    <col min="3598" max="3598" width="18.54296875" style="2" customWidth="1"/>
    <col min="3599" max="3599" width="21.7265625" style="2" customWidth="1"/>
    <col min="3600" max="3600" width="19.81640625" style="2" customWidth="1"/>
    <col min="3601" max="3601" width="34.1796875" style="2" customWidth="1"/>
    <col min="3602" max="3602" width="17" style="2" customWidth="1"/>
    <col min="3603" max="3603" width="36.453125" style="2" customWidth="1"/>
    <col min="3604" max="3604" width="26.54296875" style="2" customWidth="1"/>
    <col min="3605" max="3607" width="30.453125" style="2" customWidth="1"/>
    <col min="3608" max="3657" width="0" style="2" hidden="1" customWidth="1"/>
    <col min="3658" max="3845" width="11.453125" style="2"/>
    <col min="3846" max="3846" width="41.26953125" style="2" customWidth="1"/>
    <col min="3847" max="3848" width="40.453125" style="2" customWidth="1"/>
    <col min="3849" max="3849" width="27" style="2" customWidth="1"/>
    <col min="3850" max="3850" width="19" style="2" customWidth="1"/>
    <col min="3851" max="3851" width="26.7265625" style="2" customWidth="1"/>
    <col min="3852" max="3852" width="31.54296875" style="2" customWidth="1"/>
    <col min="3853" max="3853" width="17.7265625" style="2" customWidth="1"/>
    <col min="3854" max="3854" width="18.54296875" style="2" customWidth="1"/>
    <col min="3855" max="3855" width="21.7265625" style="2" customWidth="1"/>
    <col min="3856" max="3856" width="19.81640625" style="2" customWidth="1"/>
    <col min="3857" max="3857" width="34.1796875" style="2" customWidth="1"/>
    <col min="3858" max="3858" width="17" style="2" customWidth="1"/>
    <col min="3859" max="3859" width="36.453125" style="2" customWidth="1"/>
    <col min="3860" max="3860" width="26.54296875" style="2" customWidth="1"/>
    <col min="3861" max="3863" width="30.453125" style="2" customWidth="1"/>
    <col min="3864" max="3913" width="0" style="2" hidden="1" customWidth="1"/>
    <col min="3914" max="4101" width="11.453125" style="2"/>
    <col min="4102" max="4102" width="41.26953125" style="2" customWidth="1"/>
    <col min="4103" max="4104" width="40.453125" style="2" customWidth="1"/>
    <col min="4105" max="4105" width="27" style="2" customWidth="1"/>
    <col min="4106" max="4106" width="19" style="2" customWidth="1"/>
    <col min="4107" max="4107" width="26.7265625" style="2" customWidth="1"/>
    <col min="4108" max="4108" width="31.54296875" style="2" customWidth="1"/>
    <col min="4109" max="4109" width="17.7265625" style="2" customWidth="1"/>
    <col min="4110" max="4110" width="18.54296875" style="2" customWidth="1"/>
    <col min="4111" max="4111" width="21.7265625" style="2" customWidth="1"/>
    <col min="4112" max="4112" width="19.81640625" style="2" customWidth="1"/>
    <col min="4113" max="4113" width="34.1796875" style="2" customWidth="1"/>
    <col min="4114" max="4114" width="17" style="2" customWidth="1"/>
    <col min="4115" max="4115" width="36.453125" style="2" customWidth="1"/>
    <col min="4116" max="4116" width="26.54296875" style="2" customWidth="1"/>
    <col min="4117" max="4119" width="30.453125" style="2" customWidth="1"/>
    <col min="4120" max="4169" width="0" style="2" hidden="1" customWidth="1"/>
    <col min="4170" max="4357" width="11.453125" style="2"/>
    <col min="4358" max="4358" width="41.26953125" style="2" customWidth="1"/>
    <col min="4359" max="4360" width="40.453125" style="2" customWidth="1"/>
    <col min="4361" max="4361" width="27" style="2" customWidth="1"/>
    <col min="4362" max="4362" width="19" style="2" customWidth="1"/>
    <col min="4363" max="4363" width="26.7265625" style="2" customWidth="1"/>
    <col min="4364" max="4364" width="31.54296875" style="2" customWidth="1"/>
    <col min="4365" max="4365" width="17.7265625" style="2" customWidth="1"/>
    <col min="4366" max="4366" width="18.54296875" style="2" customWidth="1"/>
    <col min="4367" max="4367" width="21.7265625" style="2" customWidth="1"/>
    <col min="4368" max="4368" width="19.81640625" style="2" customWidth="1"/>
    <col min="4369" max="4369" width="34.1796875" style="2" customWidth="1"/>
    <col min="4370" max="4370" width="17" style="2" customWidth="1"/>
    <col min="4371" max="4371" width="36.453125" style="2" customWidth="1"/>
    <col min="4372" max="4372" width="26.54296875" style="2" customWidth="1"/>
    <col min="4373" max="4375" width="30.453125" style="2" customWidth="1"/>
    <col min="4376" max="4425" width="0" style="2" hidden="1" customWidth="1"/>
    <col min="4426" max="4613" width="11.453125" style="2"/>
    <col min="4614" max="4614" width="41.26953125" style="2" customWidth="1"/>
    <col min="4615" max="4616" width="40.453125" style="2" customWidth="1"/>
    <col min="4617" max="4617" width="27" style="2" customWidth="1"/>
    <col min="4618" max="4618" width="19" style="2" customWidth="1"/>
    <col min="4619" max="4619" width="26.7265625" style="2" customWidth="1"/>
    <col min="4620" max="4620" width="31.54296875" style="2" customWidth="1"/>
    <col min="4621" max="4621" width="17.7265625" style="2" customWidth="1"/>
    <col min="4622" max="4622" width="18.54296875" style="2" customWidth="1"/>
    <col min="4623" max="4623" width="21.7265625" style="2" customWidth="1"/>
    <col min="4624" max="4624" width="19.81640625" style="2" customWidth="1"/>
    <col min="4625" max="4625" width="34.1796875" style="2" customWidth="1"/>
    <col min="4626" max="4626" width="17" style="2" customWidth="1"/>
    <col min="4627" max="4627" width="36.453125" style="2" customWidth="1"/>
    <col min="4628" max="4628" width="26.54296875" style="2" customWidth="1"/>
    <col min="4629" max="4631" width="30.453125" style="2" customWidth="1"/>
    <col min="4632" max="4681" width="0" style="2" hidden="1" customWidth="1"/>
    <col min="4682" max="4869" width="11.453125" style="2"/>
    <col min="4870" max="4870" width="41.26953125" style="2" customWidth="1"/>
    <col min="4871" max="4872" width="40.453125" style="2" customWidth="1"/>
    <col min="4873" max="4873" width="27" style="2" customWidth="1"/>
    <col min="4874" max="4874" width="19" style="2" customWidth="1"/>
    <col min="4875" max="4875" width="26.7265625" style="2" customWidth="1"/>
    <col min="4876" max="4876" width="31.54296875" style="2" customWidth="1"/>
    <col min="4877" max="4877" width="17.7265625" style="2" customWidth="1"/>
    <col min="4878" max="4878" width="18.54296875" style="2" customWidth="1"/>
    <col min="4879" max="4879" width="21.7265625" style="2" customWidth="1"/>
    <col min="4880" max="4880" width="19.81640625" style="2" customWidth="1"/>
    <col min="4881" max="4881" width="34.1796875" style="2" customWidth="1"/>
    <col min="4882" max="4882" width="17" style="2" customWidth="1"/>
    <col min="4883" max="4883" width="36.453125" style="2" customWidth="1"/>
    <col min="4884" max="4884" width="26.54296875" style="2" customWidth="1"/>
    <col min="4885" max="4887" width="30.453125" style="2" customWidth="1"/>
    <col min="4888" max="4937" width="0" style="2" hidden="1" customWidth="1"/>
    <col min="4938" max="5125" width="11.453125" style="2"/>
    <col min="5126" max="5126" width="41.26953125" style="2" customWidth="1"/>
    <col min="5127" max="5128" width="40.453125" style="2" customWidth="1"/>
    <col min="5129" max="5129" width="27" style="2" customWidth="1"/>
    <col min="5130" max="5130" width="19" style="2" customWidth="1"/>
    <col min="5131" max="5131" width="26.7265625" style="2" customWidth="1"/>
    <col min="5132" max="5132" width="31.54296875" style="2" customWidth="1"/>
    <col min="5133" max="5133" width="17.7265625" style="2" customWidth="1"/>
    <col min="5134" max="5134" width="18.54296875" style="2" customWidth="1"/>
    <col min="5135" max="5135" width="21.7265625" style="2" customWidth="1"/>
    <col min="5136" max="5136" width="19.81640625" style="2" customWidth="1"/>
    <col min="5137" max="5137" width="34.1796875" style="2" customWidth="1"/>
    <col min="5138" max="5138" width="17" style="2" customWidth="1"/>
    <col min="5139" max="5139" width="36.453125" style="2" customWidth="1"/>
    <col min="5140" max="5140" width="26.54296875" style="2" customWidth="1"/>
    <col min="5141" max="5143" width="30.453125" style="2" customWidth="1"/>
    <col min="5144" max="5193" width="0" style="2" hidden="1" customWidth="1"/>
    <col min="5194" max="5381" width="11.453125" style="2"/>
    <col min="5382" max="5382" width="41.26953125" style="2" customWidth="1"/>
    <col min="5383" max="5384" width="40.453125" style="2" customWidth="1"/>
    <col min="5385" max="5385" width="27" style="2" customWidth="1"/>
    <col min="5386" max="5386" width="19" style="2" customWidth="1"/>
    <col min="5387" max="5387" width="26.7265625" style="2" customWidth="1"/>
    <col min="5388" max="5388" width="31.54296875" style="2" customWidth="1"/>
    <col min="5389" max="5389" width="17.7265625" style="2" customWidth="1"/>
    <col min="5390" max="5390" width="18.54296875" style="2" customWidth="1"/>
    <col min="5391" max="5391" width="21.7265625" style="2" customWidth="1"/>
    <col min="5392" max="5392" width="19.81640625" style="2" customWidth="1"/>
    <col min="5393" max="5393" width="34.1796875" style="2" customWidth="1"/>
    <col min="5394" max="5394" width="17" style="2" customWidth="1"/>
    <col min="5395" max="5395" width="36.453125" style="2" customWidth="1"/>
    <col min="5396" max="5396" width="26.54296875" style="2" customWidth="1"/>
    <col min="5397" max="5399" width="30.453125" style="2" customWidth="1"/>
    <col min="5400" max="5449" width="0" style="2" hidden="1" customWidth="1"/>
    <col min="5450" max="5637" width="11.453125" style="2"/>
    <col min="5638" max="5638" width="41.26953125" style="2" customWidth="1"/>
    <col min="5639" max="5640" width="40.453125" style="2" customWidth="1"/>
    <col min="5641" max="5641" width="27" style="2" customWidth="1"/>
    <col min="5642" max="5642" width="19" style="2" customWidth="1"/>
    <col min="5643" max="5643" width="26.7265625" style="2" customWidth="1"/>
    <col min="5644" max="5644" width="31.54296875" style="2" customWidth="1"/>
    <col min="5645" max="5645" width="17.7265625" style="2" customWidth="1"/>
    <col min="5646" max="5646" width="18.54296875" style="2" customWidth="1"/>
    <col min="5647" max="5647" width="21.7265625" style="2" customWidth="1"/>
    <col min="5648" max="5648" width="19.81640625" style="2" customWidth="1"/>
    <col min="5649" max="5649" width="34.1796875" style="2" customWidth="1"/>
    <col min="5650" max="5650" width="17" style="2" customWidth="1"/>
    <col min="5651" max="5651" width="36.453125" style="2" customWidth="1"/>
    <col min="5652" max="5652" width="26.54296875" style="2" customWidth="1"/>
    <col min="5653" max="5655" width="30.453125" style="2" customWidth="1"/>
    <col min="5656" max="5705" width="0" style="2" hidden="1" customWidth="1"/>
    <col min="5706" max="5893" width="11.453125" style="2"/>
    <col min="5894" max="5894" width="41.26953125" style="2" customWidth="1"/>
    <col min="5895" max="5896" width="40.453125" style="2" customWidth="1"/>
    <col min="5897" max="5897" width="27" style="2" customWidth="1"/>
    <col min="5898" max="5898" width="19" style="2" customWidth="1"/>
    <col min="5899" max="5899" width="26.7265625" style="2" customWidth="1"/>
    <col min="5900" max="5900" width="31.54296875" style="2" customWidth="1"/>
    <col min="5901" max="5901" width="17.7265625" style="2" customWidth="1"/>
    <col min="5902" max="5902" width="18.54296875" style="2" customWidth="1"/>
    <col min="5903" max="5903" width="21.7265625" style="2" customWidth="1"/>
    <col min="5904" max="5904" width="19.81640625" style="2" customWidth="1"/>
    <col min="5905" max="5905" width="34.1796875" style="2" customWidth="1"/>
    <col min="5906" max="5906" width="17" style="2" customWidth="1"/>
    <col min="5907" max="5907" width="36.453125" style="2" customWidth="1"/>
    <col min="5908" max="5908" width="26.54296875" style="2" customWidth="1"/>
    <col min="5909" max="5911" width="30.453125" style="2" customWidth="1"/>
    <col min="5912" max="5961" width="0" style="2" hidden="1" customWidth="1"/>
    <col min="5962" max="6149" width="11.453125" style="2"/>
    <col min="6150" max="6150" width="41.26953125" style="2" customWidth="1"/>
    <col min="6151" max="6152" width="40.453125" style="2" customWidth="1"/>
    <col min="6153" max="6153" width="27" style="2" customWidth="1"/>
    <col min="6154" max="6154" width="19" style="2" customWidth="1"/>
    <col min="6155" max="6155" width="26.7265625" style="2" customWidth="1"/>
    <col min="6156" max="6156" width="31.54296875" style="2" customWidth="1"/>
    <col min="6157" max="6157" width="17.7265625" style="2" customWidth="1"/>
    <col min="6158" max="6158" width="18.54296875" style="2" customWidth="1"/>
    <col min="6159" max="6159" width="21.7265625" style="2" customWidth="1"/>
    <col min="6160" max="6160" width="19.81640625" style="2" customWidth="1"/>
    <col min="6161" max="6161" width="34.1796875" style="2" customWidth="1"/>
    <col min="6162" max="6162" width="17" style="2" customWidth="1"/>
    <col min="6163" max="6163" width="36.453125" style="2" customWidth="1"/>
    <col min="6164" max="6164" width="26.54296875" style="2" customWidth="1"/>
    <col min="6165" max="6167" width="30.453125" style="2" customWidth="1"/>
    <col min="6168" max="6217" width="0" style="2" hidden="1" customWidth="1"/>
    <col min="6218" max="6405" width="11.453125" style="2"/>
    <col min="6406" max="6406" width="41.26953125" style="2" customWidth="1"/>
    <col min="6407" max="6408" width="40.453125" style="2" customWidth="1"/>
    <col min="6409" max="6409" width="27" style="2" customWidth="1"/>
    <col min="6410" max="6410" width="19" style="2" customWidth="1"/>
    <col min="6411" max="6411" width="26.7265625" style="2" customWidth="1"/>
    <col min="6412" max="6412" width="31.54296875" style="2" customWidth="1"/>
    <col min="6413" max="6413" width="17.7265625" style="2" customWidth="1"/>
    <col min="6414" max="6414" width="18.54296875" style="2" customWidth="1"/>
    <col min="6415" max="6415" width="21.7265625" style="2" customWidth="1"/>
    <col min="6416" max="6416" width="19.81640625" style="2" customWidth="1"/>
    <col min="6417" max="6417" width="34.1796875" style="2" customWidth="1"/>
    <col min="6418" max="6418" width="17" style="2" customWidth="1"/>
    <col min="6419" max="6419" width="36.453125" style="2" customWidth="1"/>
    <col min="6420" max="6420" width="26.54296875" style="2" customWidth="1"/>
    <col min="6421" max="6423" width="30.453125" style="2" customWidth="1"/>
    <col min="6424" max="6473" width="0" style="2" hidden="1" customWidth="1"/>
    <col min="6474" max="6661" width="11.453125" style="2"/>
    <col min="6662" max="6662" width="41.26953125" style="2" customWidth="1"/>
    <col min="6663" max="6664" width="40.453125" style="2" customWidth="1"/>
    <col min="6665" max="6665" width="27" style="2" customWidth="1"/>
    <col min="6666" max="6666" width="19" style="2" customWidth="1"/>
    <col min="6667" max="6667" width="26.7265625" style="2" customWidth="1"/>
    <col min="6668" max="6668" width="31.54296875" style="2" customWidth="1"/>
    <col min="6669" max="6669" width="17.7265625" style="2" customWidth="1"/>
    <col min="6670" max="6670" width="18.54296875" style="2" customWidth="1"/>
    <col min="6671" max="6671" width="21.7265625" style="2" customWidth="1"/>
    <col min="6672" max="6672" width="19.81640625" style="2" customWidth="1"/>
    <col min="6673" max="6673" width="34.1796875" style="2" customWidth="1"/>
    <col min="6674" max="6674" width="17" style="2" customWidth="1"/>
    <col min="6675" max="6675" width="36.453125" style="2" customWidth="1"/>
    <col min="6676" max="6676" width="26.54296875" style="2" customWidth="1"/>
    <col min="6677" max="6679" width="30.453125" style="2" customWidth="1"/>
    <col min="6680" max="6729" width="0" style="2" hidden="1" customWidth="1"/>
    <col min="6730" max="6917" width="11.453125" style="2"/>
    <col min="6918" max="6918" width="41.26953125" style="2" customWidth="1"/>
    <col min="6919" max="6920" width="40.453125" style="2" customWidth="1"/>
    <col min="6921" max="6921" width="27" style="2" customWidth="1"/>
    <col min="6922" max="6922" width="19" style="2" customWidth="1"/>
    <col min="6923" max="6923" width="26.7265625" style="2" customWidth="1"/>
    <col min="6924" max="6924" width="31.54296875" style="2" customWidth="1"/>
    <col min="6925" max="6925" width="17.7265625" style="2" customWidth="1"/>
    <col min="6926" max="6926" width="18.54296875" style="2" customWidth="1"/>
    <col min="6927" max="6927" width="21.7265625" style="2" customWidth="1"/>
    <col min="6928" max="6928" width="19.81640625" style="2" customWidth="1"/>
    <col min="6929" max="6929" width="34.1796875" style="2" customWidth="1"/>
    <col min="6930" max="6930" width="17" style="2" customWidth="1"/>
    <col min="6931" max="6931" width="36.453125" style="2" customWidth="1"/>
    <col min="6932" max="6932" width="26.54296875" style="2" customWidth="1"/>
    <col min="6933" max="6935" width="30.453125" style="2" customWidth="1"/>
    <col min="6936" max="6985" width="0" style="2" hidden="1" customWidth="1"/>
    <col min="6986" max="7173" width="11.453125" style="2"/>
    <col min="7174" max="7174" width="41.26953125" style="2" customWidth="1"/>
    <col min="7175" max="7176" width="40.453125" style="2" customWidth="1"/>
    <col min="7177" max="7177" width="27" style="2" customWidth="1"/>
    <col min="7178" max="7178" width="19" style="2" customWidth="1"/>
    <col min="7179" max="7179" width="26.7265625" style="2" customWidth="1"/>
    <col min="7180" max="7180" width="31.54296875" style="2" customWidth="1"/>
    <col min="7181" max="7181" width="17.7265625" style="2" customWidth="1"/>
    <col min="7182" max="7182" width="18.54296875" style="2" customWidth="1"/>
    <col min="7183" max="7183" width="21.7265625" style="2" customWidth="1"/>
    <col min="7184" max="7184" width="19.81640625" style="2" customWidth="1"/>
    <col min="7185" max="7185" width="34.1796875" style="2" customWidth="1"/>
    <col min="7186" max="7186" width="17" style="2" customWidth="1"/>
    <col min="7187" max="7187" width="36.453125" style="2" customWidth="1"/>
    <col min="7188" max="7188" width="26.54296875" style="2" customWidth="1"/>
    <col min="7189" max="7191" width="30.453125" style="2" customWidth="1"/>
    <col min="7192" max="7241" width="0" style="2" hidden="1" customWidth="1"/>
    <col min="7242" max="7429" width="11.453125" style="2"/>
    <col min="7430" max="7430" width="41.26953125" style="2" customWidth="1"/>
    <col min="7431" max="7432" width="40.453125" style="2" customWidth="1"/>
    <col min="7433" max="7433" width="27" style="2" customWidth="1"/>
    <col min="7434" max="7434" width="19" style="2" customWidth="1"/>
    <col min="7435" max="7435" width="26.7265625" style="2" customWidth="1"/>
    <col min="7436" max="7436" width="31.54296875" style="2" customWidth="1"/>
    <col min="7437" max="7437" width="17.7265625" style="2" customWidth="1"/>
    <col min="7438" max="7438" width="18.54296875" style="2" customWidth="1"/>
    <col min="7439" max="7439" width="21.7265625" style="2" customWidth="1"/>
    <col min="7440" max="7440" width="19.81640625" style="2" customWidth="1"/>
    <col min="7441" max="7441" width="34.1796875" style="2" customWidth="1"/>
    <col min="7442" max="7442" width="17" style="2" customWidth="1"/>
    <col min="7443" max="7443" width="36.453125" style="2" customWidth="1"/>
    <col min="7444" max="7444" width="26.54296875" style="2" customWidth="1"/>
    <col min="7445" max="7447" width="30.453125" style="2" customWidth="1"/>
    <col min="7448" max="7497" width="0" style="2" hidden="1" customWidth="1"/>
    <col min="7498" max="7685" width="11.453125" style="2"/>
    <col min="7686" max="7686" width="41.26953125" style="2" customWidth="1"/>
    <col min="7687" max="7688" width="40.453125" style="2" customWidth="1"/>
    <col min="7689" max="7689" width="27" style="2" customWidth="1"/>
    <col min="7690" max="7690" width="19" style="2" customWidth="1"/>
    <col min="7691" max="7691" width="26.7265625" style="2" customWidth="1"/>
    <col min="7692" max="7692" width="31.54296875" style="2" customWidth="1"/>
    <col min="7693" max="7693" width="17.7265625" style="2" customWidth="1"/>
    <col min="7694" max="7694" width="18.54296875" style="2" customWidth="1"/>
    <col min="7695" max="7695" width="21.7265625" style="2" customWidth="1"/>
    <col min="7696" max="7696" width="19.81640625" style="2" customWidth="1"/>
    <col min="7697" max="7697" width="34.1796875" style="2" customWidth="1"/>
    <col min="7698" max="7698" width="17" style="2" customWidth="1"/>
    <col min="7699" max="7699" width="36.453125" style="2" customWidth="1"/>
    <col min="7700" max="7700" width="26.54296875" style="2" customWidth="1"/>
    <col min="7701" max="7703" width="30.453125" style="2" customWidth="1"/>
    <col min="7704" max="7753" width="0" style="2" hidden="1" customWidth="1"/>
    <col min="7754" max="7941" width="11.453125" style="2"/>
    <col min="7942" max="7942" width="41.26953125" style="2" customWidth="1"/>
    <col min="7943" max="7944" width="40.453125" style="2" customWidth="1"/>
    <col min="7945" max="7945" width="27" style="2" customWidth="1"/>
    <col min="7946" max="7946" width="19" style="2" customWidth="1"/>
    <col min="7947" max="7947" width="26.7265625" style="2" customWidth="1"/>
    <col min="7948" max="7948" width="31.54296875" style="2" customWidth="1"/>
    <col min="7949" max="7949" width="17.7265625" style="2" customWidth="1"/>
    <col min="7950" max="7950" width="18.54296875" style="2" customWidth="1"/>
    <col min="7951" max="7951" width="21.7265625" style="2" customWidth="1"/>
    <col min="7952" max="7952" width="19.81640625" style="2" customWidth="1"/>
    <col min="7953" max="7953" width="34.1796875" style="2" customWidth="1"/>
    <col min="7954" max="7954" width="17" style="2" customWidth="1"/>
    <col min="7955" max="7955" width="36.453125" style="2" customWidth="1"/>
    <col min="7956" max="7956" width="26.54296875" style="2" customWidth="1"/>
    <col min="7957" max="7959" width="30.453125" style="2" customWidth="1"/>
    <col min="7960" max="8009" width="0" style="2" hidden="1" customWidth="1"/>
    <col min="8010" max="8197" width="11.453125" style="2"/>
    <col min="8198" max="8198" width="41.26953125" style="2" customWidth="1"/>
    <col min="8199" max="8200" width="40.453125" style="2" customWidth="1"/>
    <col min="8201" max="8201" width="27" style="2" customWidth="1"/>
    <col min="8202" max="8202" width="19" style="2" customWidth="1"/>
    <col min="8203" max="8203" width="26.7265625" style="2" customWidth="1"/>
    <col min="8204" max="8204" width="31.54296875" style="2" customWidth="1"/>
    <col min="8205" max="8205" width="17.7265625" style="2" customWidth="1"/>
    <col min="8206" max="8206" width="18.54296875" style="2" customWidth="1"/>
    <col min="8207" max="8207" width="21.7265625" style="2" customWidth="1"/>
    <col min="8208" max="8208" width="19.81640625" style="2" customWidth="1"/>
    <col min="8209" max="8209" width="34.1796875" style="2" customWidth="1"/>
    <col min="8210" max="8210" width="17" style="2" customWidth="1"/>
    <col min="8211" max="8211" width="36.453125" style="2" customWidth="1"/>
    <col min="8212" max="8212" width="26.54296875" style="2" customWidth="1"/>
    <col min="8213" max="8215" width="30.453125" style="2" customWidth="1"/>
    <col min="8216" max="8265" width="0" style="2" hidden="1" customWidth="1"/>
    <col min="8266" max="8453" width="11.453125" style="2"/>
    <col min="8454" max="8454" width="41.26953125" style="2" customWidth="1"/>
    <col min="8455" max="8456" width="40.453125" style="2" customWidth="1"/>
    <col min="8457" max="8457" width="27" style="2" customWidth="1"/>
    <col min="8458" max="8458" width="19" style="2" customWidth="1"/>
    <col min="8459" max="8459" width="26.7265625" style="2" customWidth="1"/>
    <col min="8460" max="8460" width="31.54296875" style="2" customWidth="1"/>
    <col min="8461" max="8461" width="17.7265625" style="2" customWidth="1"/>
    <col min="8462" max="8462" width="18.54296875" style="2" customWidth="1"/>
    <col min="8463" max="8463" width="21.7265625" style="2" customWidth="1"/>
    <col min="8464" max="8464" width="19.81640625" style="2" customWidth="1"/>
    <col min="8465" max="8465" width="34.1796875" style="2" customWidth="1"/>
    <col min="8466" max="8466" width="17" style="2" customWidth="1"/>
    <col min="8467" max="8467" width="36.453125" style="2" customWidth="1"/>
    <col min="8468" max="8468" width="26.54296875" style="2" customWidth="1"/>
    <col min="8469" max="8471" width="30.453125" style="2" customWidth="1"/>
    <col min="8472" max="8521" width="0" style="2" hidden="1" customWidth="1"/>
    <col min="8522" max="8709" width="11.453125" style="2"/>
    <col min="8710" max="8710" width="41.26953125" style="2" customWidth="1"/>
    <col min="8711" max="8712" width="40.453125" style="2" customWidth="1"/>
    <col min="8713" max="8713" width="27" style="2" customWidth="1"/>
    <col min="8714" max="8714" width="19" style="2" customWidth="1"/>
    <col min="8715" max="8715" width="26.7265625" style="2" customWidth="1"/>
    <col min="8716" max="8716" width="31.54296875" style="2" customWidth="1"/>
    <col min="8717" max="8717" width="17.7265625" style="2" customWidth="1"/>
    <col min="8718" max="8718" width="18.54296875" style="2" customWidth="1"/>
    <col min="8719" max="8719" width="21.7265625" style="2" customWidth="1"/>
    <col min="8720" max="8720" width="19.81640625" style="2" customWidth="1"/>
    <col min="8721" max="8721" width="34.1796875" style="2" customWidth="1"/>
    <col min="8722" max="8722" width="17" style="2" customWidth="1"/>
    <col min="8723" max="8723" width="36.453125" style="2" customWidth="1"/>
    <col min="8724" max="8724" width="26.54296875" style="2" customWidth="1"/>
    <col min="8725" max="8727" width="30.453125" style="2" customWidth="1"/>
    <col min="8728" max="8777" width="0" style="2" hidden="1" customWidth="1"/>
    <col min="8778" max="8965" width="11.453125" style="2"/>
    <col min="8966" max="8966" width="41.26953125" style="2" customWidth="1"/>
    <col min="8967" max="8968" width="40.453125" style="2" customWidth="1"/>
    <col min="8969" max="8969" width="27" style="2" customWidth="1"/>
    <col min="8970" max="8970" width="19" style="2" customWidth="1"/>
    <col min="8971" max="8971" width="26.7265625" style="2" customWidth="1"/>
    <col min="8972" max="8972" width="31.54296875" style="2" customWidth="1"/>
    <col min="8973" max="8973" width="17.7265625" style="2" customWidth="1"/>
    <col min="8974" max="8974" width="18.54296875" style="2" customWidth="1"/>
    <col min="8975" max="8975" width="21.7265625" style="2" customWidth="1"/>
    <col min="8976" max="8976" width="19.81640625" style="2" customWidth="1"/>
    <col min="8977" max="8977" width="34.1796875" style="2" customWidth="1"/>
    <col min="8978" max="8978" width="17" style="2" customWidth="1"/>
    <col min="8979" max="8979" width="36.453125" style="2" customWidth="1"/>
    <col min="8980" max="8980" width="26.54296875" style="2" customWidth="1"/>
    <col min="8981" max="8983" width="30.453125" style="2" customWidth="1"/>
    <col min="8984" max="9033" width="0" style="2" hidden="1" customWidth="1"/>
    <col min="9034" max="9221" width="11.453125" style="2"/>
    <col min="9222" max="9222" width="41.26953125" style="2" customWidth="1"/>
    <col min="9223" max="9224" width="40.453125" style="2" customWidth="1"/>
    <col min="9225" max="9225" width="27" style="2" customWidth="1"/>
    <col min="9226" max="9226" width="19" style="2" customWidth="1"/>
    <col min="9227" max="9227" width="26.7265625" style="2" customWidth="1"/>
    <col min="9228" max="9228" width="31.54296875" style="2" customWidth="1"/>
    <col min="9229" max="9229" width="17.7265625" style="2" customWidth="1"/>
    <col min="9230" max="9230" width="18.54296875" style="2" customWidth="1"/>
    <col min="9231" max="9231" width="21.7265625" style="2" customWidth="1"/>
    <col min="9232" max="9232" width="19.81640625" style="2" customWidth="1"/>
    <col min="9233" max="9233" width="34.1796875" style="2" customWidth="1"/>
    <col min="9234" max="9234" width="17" style="2" customWidth="1"/>
    <col min="9235" max="9235" width="36.453125" style="2" customWidth="1"/>
    <col min="9236" max="9236" width="26.54296875" style="2" customWidth="1"/>
    <col min="9237" max="9239" width="30.453125" style="2" customWidth="1"/>
    <col min="9240" max="9289" width="0" style="2" hidden="1" customWidth="1"/>
    <col min="9290" max="9477" width="11.453125" style="2"/>
    <col min="9478" max="9478" width="41.26953125" style="2" customWidth="1"/>
    <col min="9479" max="9480" width="40.453125" style="2" customWidth="1"/>
    <col min="9481" max="9481" width="27" style="2" customWidth="1"/>
    <col min="9482" max="9482" width="19" style="2" customWidth="1"/>
    <col min="9483" max="9483" width="26.7265625" style="2" customWidth="1"/>
    <col min="9484" max="9484" width="31.54296875" style="2" customWidth="1"/>
    <col min="9485" max="9485" width="17.7265625" style="2" customWidth="1"/>
    <col min="9486" max="9486" width="18.54296875" style="2" customWidth="1"/>
    <col min="9487" max="9487" width="21.7265625" style="2" customWidth="1"/>
    <col min="9488" max="9488" width="19.81640625" style="2" customWidth="1"/>
    <col min="9489" max="9489" width="34.1796875" style="2" customWidth="1"/>
    <col min="9490" max="9490" width="17" style="2" customWidth="1"/>
    <col min="9491" max="9491" width="36.453125" style="2" customWidth="1"/>
    <col min="9492" max="9492" width="26.54296875" style="2" customWidth="1"/>
    <col min="9493" max="9495" width="30.453125" style="2" customWidth="1"/>
    <col min="9496" max="9545" width="0" style="2" hidden="1" customWidth="1"/>
    <col min="9546" max="9733" width="11.453125" style="2"/>
    <col min="9734" max="9734" width="41.26953125" style="2" customWidth="1"/>
    <col min="9735" max="9736" width="40.453125" style="2" customWidth="1"/>
    <col min="9737" max="9737" width="27" style="2" customWidth="1"/>
    <col min="9738" max="9738" width="19" style="2" customWidth="1"/>
    <col min="9739" max="9739" width="26.7265625" style="2" customWidth="1"/>
    <col min="9740" max="9740" width="31.54296875" style="2" customWidth="1"/>
    <col min="9741" max="9741" width="17.7265625" style="2" customWidth="1"/>
    <col min="9742" max="9742" width="18.54296875" style="2" customWidth="1"/>
    <col min="9743" max="9743" width="21.7265625" style="2" customWidth="1"/>
    <col min="9744" max="9744" width="19.81640625" style="2" customWidth="1"/>
    <col min="9745" max="9745" width="34.1796875" style="2" customWidth="1"/>
    <col min="9746" max="9746" width="17" style="2" customWidth="1"/>
    <col min="9747" max="9747" width="36.453125" style="2" customWidth="1"/>
    <col min="9748" max="9748" width="26.54296875" style="2" customWidth="1"/>
    <col min="9749" max="9751" width="30.453125" style="2" customWidth="1"/>
    <col min="9752" max="9801" width="0" style="2" hidden="1" customWidth="1"/>
    <col min="9802" max="9989" width="11.453125" style="2"/>
    <col min="9990" max="9990" width="41.26953125" style="2" customWidth="1"/>
    <col min="9991" max="9992" width="40.453125" style="2" customWidth="1"/>
    <col min="9993" max="9993" width="27" style="2" customWidth="1"/>
    <col min="9994" max="9994" width="19" style="2" customWidth="1"/>
    <col min="9995" max="9995" width="26.7265625" style="2" customWidth="1"/>
    <col min="9996" max="9996" width="31.54296875" style="2" customWidth="1"/>
    <col min="9997" max="9997" width="17.7265625" style="2" customWidth="1"/>
    <col min="9998" max="9998" width="18.54296875" style="2" customWidth="1"/>
    <col min="9999" max="9999" width="21.7265625" style="2" customWidth="1"/>
    <col min="10000" max="10000" width="19.81640625" style="2" customWidth="1"/>
    <col min="10001" max="10001" width="34.1796875" style="2" customWidth="1"/>
    <col min="10002" max="10002" width="17" style="2" customWidth="1"/>
    <col min="10003" max="10003" width="36.453125" style="2" customWidth="1"/>
    <col min="10004" max="10004" width="26.54296875" style="2" customWidth="1"/>
    <col min="10005" max="10007" width="30.453125" style="2" customWidth="1"/>
    <col min="10008" max="10057" width="0" style="2" hidden="1" customWidth="1"/>
    <col min="10058" max="10245" width="11.453125" style="2"/>
    <col min="10246" max="10246" width="41.26953125" style="2" customWidth="1"/>
    <col min="10247" max="10248" width="40.453125" style="2" customWidth="1"/>
    <col min="10249" max="10249" width="27" style="2" customWidth="1"/>
    <col min="10250" max="10250" width="19" style="2" customWidth="1"/>
    <col min="10251" max="10251" width="26.7265625" style="2" customWidth="1"/>
    <col min="10252" max="10252" width="31.54296875" style="2" customWidth="1"/>
    <col min="10253" max="10253" width="17.7265625" style="2" customWidth="1"/>
    <col min="10254" max="10254" width="18.54296875" style="2" customWidth="1"/>
    <col min="10255" max="10255" width="21.7265625" style="2" customWidth="1"/>
    <col min="10256" max="10256" width="19.81640625" style="2" customWidth="1"/>
    <col min="10257" max="10257" width="34.1796875" style="2" customWidth="1"/>
    <col min="10258" max="10258" width="17" style="2" customWidth="1"/>
    <col min="10259" max="10259" width="36.453125" style="2" customWidth="1"/>
    <col min="10260" max="10260" width="26.54296875" style="2" customWidth="1"/>
    <col min="10261" max="10263" width="30.453125" style="2" customWidth="1"/>
    <col min="10264" max="10313" width="0" style="2" hidden="1" customWidth="1"/>
    <col min="10314" max="10501" width="11.453125" style="2"/>
    <col min="10502" max="10502" width="41.26953125" style="2" customWidth="1"/>
    <col min="10503" max="10504" width="40.453125" style="2" customWidth="1"/>
    <col min="10505" max="10505" width="27" style="2" customWidth="1"/>
    <col min="10506" max="10506" width="19" style="2" customWidth="1"/>
    <col min="10507" max="10507" width="26.7265625" style="2" customWidth="1"/>
    <col min="10508" max="10508" width="31.54296875" style="2" customWidth="1"/>
    <col min="10509" max="10509" width="17.7265625" style="2" customWidth="1"/>
    <col min="10510" max="10510" width="18.54296875" style="2" customWidth="1"/>
    <col min="10511" max="10511" width="21.7265625" style="2" customWidth="1"/>
    <col min="10512" max="10512" width="19.81640625" style="2" customWidth="1"/>
    <col min="10513" max="10513" width="34.1796875" style="2" customWidth="1"/>
    <col min="10514" max="10514" width="17" style="2" customWidth="1"/>
    <col min="10515" max="10515" width="36.453125" style="2" customWidth="1"/>
    <col min="10516" max="10516" width="26.54296875" style="2" customWidth="1"/>
    <col min="10517" max="10519" width="30.453125" style="2" customWidth="1"/>
    <col min="10520" max="10569" width="0" style="2" hidden="1" customWidth="1"/>
    <col min="10570" max="10757" width="11.453125" style="2"/>
    <col min="10758" max="10758" width="41.26953125" style="2" customWidth="1"/>
    <col min="10759" max="10760" width="40.453125" style="2" customWidth="1"/>
    <col min="10761" max="10761" width="27" style="2" customWidth="1"/>
    <col min="10762" max="10762" width="19" style="2" customWidth="1"/>
    <col min="10763" max="10763" width="26.7265625" style="2" customWidth="1"/>
    <col min="10764" max="10764" width="31.54296875" style="2" customWidth="1"/>
    <col min="10765" max="10765" width="17.7265625" style="2" customWidth="1"/>
    <col min="10766" max="10766" width="18.54296875" style="2" customWidth="1"/>
    <col min="10767" max="10767" width="21.7265625" style="2" customWidth="1"/>
    <col min="10768" max="10768" width="19.81640625" style="2" customWidth="1"/>
    <col min="10769" max="10769" width="34.1796875" style="2" customWidth="1"/>
    <col min="10770" max="10770" width="17" style="2" customWidth="1"/>
    <col min="10771" max="10771" width="36.453125" style="2" customWidth="1"/>
    <col min="10772" max="10772" width="26.54296875" style="2" customWidth="1"/>
    <col min="10773" max="10775" width="30.453125" style="2" customWidth="1"/>
    <col min="10776" max="10825" width="0" style="2" hidden="1" customWidth="1"/>
    <col min="10826" max="11013" width="11.453125" style="2"/>
    <col min="11014" max="11014" width="41.26953125" style="2" customWidth="1"/>
    <col min="11015" max="11016" width="40.453125" style="2" customWidth="1"/>
    <col min="11017" max="11017" width="27" style="2" customWidth="1"/>
    <col min="11018" max="11018" width="19" style="2" customWidth="1"/>
    <col min="11019" max="11019" width="26.7265625" style="2" customWidth="1"/>
    <col min="11020" max="11020" width="31.54296875" style="2" customWidth="1"/>
    <col min="11021" max="11021" width="17.7265625" style="2" customWidth="1"/>
    <col min="11022" max="11022" width="18.54296875" style="2" customWidth="1"/>
    <col min="11023" max="11023" width="21.7265625" style="2" customWidth="1"/>
    <col min="11024" max="11024" width="19.81640625" style="2" customWidth="1"/>
    <col min="11025" max="11025" width="34.1796875" style="2" customWidth="1"/>
    <col min="11026" max="11026" width="17" style="2" customWidth="1"/>
    <col min="11027" max="11027" width="36.453125" style="2" customWidth="1"/>
    <col min="11028" max="11028" width="26.54296875" style="2" customWidth="1"/>
    <col min="11029" max="11031" width="30.453125" style="2" customWidth="1"/>
    <col min="11032" max="11081" width="0" style="2" hidden="1" customWidth="1"/>
    <col min="11082" max="11269" width="11.453125" style="2"/>
    <col min="11270" max="11270" width="41.26953125" style="2" customWidth="1"/>
    <col min="11271" max="11272" width="40.453125" style="2" customWidth="1"/>
    <col min="11273" max="11273" width="27" style="2" customWidth="1"/>
    <col min="11274" max="11274" width="19" style="2" customWidth="1"/>
    <col min="11275" max="11275" width="26.7265625" style="2" customWidth="1"/>
    <col min="11276" max="11276" width="31.54296875" style="2" customWidth="1"/>
    <col min="11277" max="11277" width="17.7265625" style="2" customWidth="1"/>
    <col min="11278" max="11278" width="18.54296875" style="2" customWidth="1"/>
    <col min="11279" max="11279" width="21.7265625" style="2" customWidth="1"/>
    <col min="11280" max="11280" width="19.81640625" style="2" customWidth="1"/>
    <col min="11281" max="11281" width="34.1796875" style="2" customWidth="1"/>
    <col min="11282" max="11282" width="17" style="2" customWidth="1"/>
    <col min="11283" max="11283" width="36.453125" style="2" customWidth="1"/>
    <col min="11284" max="11284" width="26.54296875" style="2" customWidth="1"/>
    <col min="11285" max="11287" width="30.453125" style="2" customWidth="1"/>
    <col min="11288" max="11337" width="0" style="2" hidden="1" customWidth="1"/>
    <col min="11338" max="11525" width="11.453125" style="2"/>
    <col min="11526" max="11526" width="41.26953125" style="2" customWidth="1"/>
    <col min="11527" max="11528" width="40.453125" style="2" customWidth="1"/>
    <col min="11529" max="11529" width="27" style="2" customWidth="1"/>
    <col min="11530" max="11530" width="19" style="2" customWidth="1"/>
    <col min="11531" max="11531" width="26.7265625" style="2" customWidth="1"/>
    <col min="11532" max="11532" width="31.54296875" style="2" customWidth="1"/>
    <col min="11533" max="11533" width="17.7265625" style="2" customWidth="1"/>
    <col min="11534" max="11534" width="18.54296875" style="2" customWidth="1"/>
    <col min="11535" max="11535" width="21.7265625" style="2" customWidth="1"/>
    <col min="11536" max="11536" width="19.81640625" style="2" customWidth="1"/>
    <col min="11537" max="11537" width="34.1796875" style="2" customWidth="1"/>
    <col min="11538" max="11538" width="17" style="2" customWidth="1"/>
    <col min="11539" max="11539" width="36.453125" style="2" customWidth="1"/>
    <col min="11540" max="11540" width="26.54296875" style="2" customWidth="1"/>
    <col min="11541" max="11543" width="30.453125" style="2" customWidth="1"/>
    <col min="11544" max="11593" width="0" style="2" hidden="1" customWidth="1"/>
    <col min="11594" max="11781" width="11.453125" style="2"/>
    <col min="11782" max="11782" width="41.26953125" style="2" customWidth="1"/>
    <col min="11783" max="11784" width="40.453125" style="2" customWidth="1"/>
    <col min="11785" max="11785" width="27" style="2" customWidth="1"/>
    <col min="11786" max="11786" width="19" style="2" customWidth="1"/>
    <col min="11787" max="11787" width="26.7265625" style="2" customWidth="1"/>
    <col min="11788" max="11788" width="31.54296875" style="2" customWidth="1"/>
    <col min="11789" max="11789" width="17.7265625" style="2" customWidth="1"/>
    <col min="11790" max="11790" width="18.54296875" style="2" customWidth="1"/>
    <col min="11791" max="11791" width="21.7265625" style="2" customWidth="1"/>
    <col min="11792" max="11792" width="19.81640625" style="2" customWidth="1"/>
    <col min="11793" max="11793" width="34.1796875" style="2" customWidth="1"/>
    <col min="11794" max="11794" width="17" style="2" customWidth="1"/>
    <col min="11795" max="11795" width="36.453125" style="2" customWidth="1"/>
    <col min="11796" max="11796" width="26.54296875" style="2" customWidth="1"/>
    <col min="11797" max="11799" width="30.453125" style="2" customWidth="1"/>
    <col min="11800" max="11849" width="0" style="2" hidden="1" customWidth="1"/>
    <col min="11850" max="12037" width="11.453125" style="2"/>
    <col min="12038" max="12038" width="41.26953125" style="2" customWidth="1"/>
    <col min="12039" max="12040" width="40.453125" style="2" customWidth="1"/>
    <col min="12041" max="12041" width="27" style="2" customWidth="1"/>
    <col min="12042" max="12042" width="19" style="2" customWidth="1"/>
    <col min="12043" max="12043" width="26.7265625" style="2" customWidth="1"/>
    <col min="12044" max="12044" width="31.54296875" style="2" customWidth="1"/>
    <col min="12045" max="12045" width="17.7265625" style="2" customWidth="1"/>
    <col min="12046" max="12046" width="18.54296875" style="2" customWidth="1"/>
    <col min="12047" max="12047" width="21.7265625" style="2" customWidth="1"/>
    <col min="12048" max="12048" width="19.81640625" style="2" customWidth="1"/>
    <col min="12049" max="12049" width="34.1796875" style="2" customWidth="1"/>
    <col min="12050" max="12050" width="17" style="2" customWidth="1"/>
    <col min="12051" max="12051" width="36.453125" style="2" customWidth="1"/>
    <col min="12052" max="12052" width="26.54296875" style="2" customWidth="1"/>
    <col min="12053" max="12055" width="30.453125" style="2" customWidth="1"/>
    <col min="12056" max="12105" width="0" style="2" hidden="1" customWidth="1"/>
    <col min="12106" max="12293" width="11.453125" style="2"/>
    <col min="12294" max="12294" width="41.26953125" style="2" customWidth="1"/>
    <col min="12295" max="12296" width="40.453125" style="2" customWidth="1"/>
    <col min="12297" max="12297" width="27" style="2" customWidth="1"/>
    <col min="12298" max="12298" width="19" style="2" customWidth="1"/>
    <col min="12299" max="12299" width="26.7265625" style="2" customWidth="1"/>
    <col min="12300" max="12300" width="31.54296875" style="2" customWidth="1"/>
    <col min="12301" max="12301" width="17.7265625" style="2" customWidth="1"/>
    <col min="12302" max="12302" width="18.54296875" style="2" customWidth="1"/>
    <col min="12303" max="12303" width="21.7265625" style="2" customWidth="1"/>
    <col min="12304" max="12304" width="19.81640625" style="2" customWidth="1"/>
    <col min="12305" max="12305" width="34.1796875" style="2" customWidth="1"/>
    <col min="12306" max="12306" width="17" style="2" customWidth="1"/>
    <col min="12307" max="12307" width="36.453125" style="2" customWidth="1"/>
    <col min="12308" max="12308" width="26.54296875" style="2" customWidth="1"/>
    <col min="12309" max="12311" width="30.453125" style="2" customWidth="1"/>
    <col min="12312" max="12361" width="0" style="2" hidden="1" customWidth="1"/>
    <col min="12362" max="12549" width="11.453125" style="2"/>
    <col min="12550" max="12550" width="41.26953125" style="2" customWidth="1"/>
    <col min="12551" max="12552" width="40.453125" style="2" customWidth="1"/>
    <col min="12553" max="12553" width="27" style="2" customWidth="1"/>
    <col min="12554" max="12554" width="19" style="2" customWidth="1"/>
    <col min="12555" max="12555" width="26.7265625" style="2" customWidth="1"/>
    <col min="12556" max="12556" width="31.54296875" style="2" customWidth="1"/>
    <col min="12557" max="12557" width="17.7265625" style="2" customWidth="1"/>
    <col min="12558" max="12558" width="18.54296875" style="2" customWidth="1"/>
    <col min="12559" max="12559" width="21.7265625" style="2" customWidth="1"/>
    <col min="12560" max="12560" width="19.81640625" style="2" customWidth="1"/>
    <col min="12561" max="12561" width="34.1796875" style="2" customWidth="1"/>
    <col min="12562" max="12562" width="17" style="2" customWidth="1"/>
    <col min="12563" max="12563" width="36.453125" style="2" customWidth="1"/>
    <col min="12564" max="12564" width="26.54296875" style="2" customWidth="1"/>
    <col min="12565" max="12567" width="30.453125" style="2" customWidth="1"/>
    <col min="12568" max="12617" width="0" style="2" hidden="1" customWidth="1"/>
    <col min="12618" max="12805" width="11.453125" style="2"/>
    <col min="12806" max="12806" width="41.26953125" style="2" customWidth="1"/>
    <col min="12807" max="12808" width="40.453125" style="2" customWidth="1"/>
    <col min="12809" max="12809" width="27" style="2" customWidth="1"/>
    <col min="12810" max="12810" width="19" style="2" customWidth="1"/>
    <col min="12811" max="12811" width="26.7265625" style="2" customWidth="1"/>
    <col min="12812" max="12812" width="31.54296875" style="2" customWidth="1"/>
    <col min="12813" max="12813" width="17.7265625" style="2" customWidth="1"/>
    <col min="12814" max="12814" width="18.54296875" style="2" customWidth="1"/>
    <col min="12815" max="12815" width="21.7265625" style="2" customWidth="1"/>
    <col min="12816" max="12816" width="19.81640625" style="2" customWidth="1"/>
    <col min="12817" max="12817" width="34.1796875" style="2" customWidth="1"/>
    <col min="12818" max="12818" width="17" style="2" customWidth="1"/>
    <col min="12819" max="12819" width="36.453125" style="2" customWidth="1"/>
    <col min="12820" max="12820" width="26.54296875" style="2" customWidth="1"/>
    <col min="12821" max="12823" width="30.453125" style="2" customWidth="1"/>
    <col min="12824" max="12873" width="0" style="2" hidden="1" customWidth="1"/>
    <col min="12874" max="13061" width="11.453125" style="2"/>
    <col min="13062" max="13062" width="41.26953125" style="2" customWidth="1"/>
    <col min="13063" max="13064" width="40.453125" style="2" customWidth="1"/>
    <col min="13065" max="13065" width="27" style="2" customWidth="1"/>
    <col min="13066" max="13066" width="19" style="2" customWidth="1"/>
    <col min="13067" max="13067" width="26.7265625" style="2" customWidth="1"/>
    <col min="13068" max="13068" width="31.54296875" style="2" customWidth="1"/>
    <col min="13069" max="13069" width="17.7265625" style="2" customWidth="1"/>
    <col min="13070" max="13070" width="18.54296875" style="2" customWidth="1"/>
    <col min="13071" max="13071" width="21.7265625" style="2" customWidth="1"/>
    <col min="13072" max="13072" width="19.81640625" style="2" customWidth="1"/>
    <col min="13073" max="13073" width="34.1796875" style="2" customWidth="1"/>
    <col min="13074" max="13074" width="17" style="2" customWidth="1"/>
    <col min="13075" max="13075" width="36.453125" style="2" customWidth="1"/>
    <col min="13076" max="13076" width="26.54296875" style="2" customWidth="1"/>
    <col min="13077" max="13079" width="30.453125" style="2" customWidth="1"/>
    <col min="13080" max="13129" width="0" style="2" hidden="1" customWidth="1"/>
    <col min="13130" max="13317" width="11.453125" style="2"/>
    <col min="13318" max="13318" width="41.26953125" style="2" customWidth="1"/>
    <col min="13319" max="13320" width="40.453125" style="2" customWidth="1"/>
    <col min="13321" max="13321" width="27" style="2" customWidth="1"/>
    <col min="13322" max="13322" width="19" style="2" customWidth="1"/>
    <col min="13323" max="13323" width="26.7265625" style="2" customWidth="1"/>
    <col min="13324" max="13324" width="31.54296875" style="2" customWidth="1"/>
    <col min="13325" max="13325" width="17.7265625" style="2" customWidth="1"/>
    <col min="13326" max="13326" width="18.54296875" style="2" customWidth="1"/>
    <col min="13327" max="13327" width="21.7265625" style="2" customWidth="1"/>
    <col min="13328" max="13328" width="19.81640625" style="2" customWidth="1"/>
    <col min="13329" max="13329" width="34.1796875" style="2" customWidth="1"/>
    <col min="13330" max="13330" width="17" style="2" customWidth="1"/>
    <col min="13331" max="13331" width="36.453125" style="2" customWidth="1"/>
    <col min="13332" max="13332" width="26.54296875" style="2" customWidth="1"/>
    <col min="13333" max="13335" width="30.453125" style="2" customWidth="1"/>
    <col min="13336" max="13385" width="0" style="2" hidden="1" customWidth="1"/>
    <col min="13386" max="13573" width="11.453125" style="2"/>
    <col min="13574" max="13574" width="41.26953125" style="2" customWidth="1"/>
    <col min="13575" max="13576" width="40.453125" style="2" customWidth="1"/>
    <col min="13577" max="13577" width="27" style="2" customWidth="1"/>
    <col min="13578" max="13578" width="19" style="2" customWidth="1"/>
    <col min="13579" max="13579" width="26.7265625" style="2" customWidth="1"/>
    <col min="13580" max="13580" width="31.54296875" style="2" customWidth="1"/>
    <col min="13581" max="13581" width="17.7265625" style="2" customWidth="1"/>
    <col min="13582" max="13582" width="18.54296875" style="2" customWidth="1"/>
    <col min="13583" max="13583" width="21.7265625" style="2" customWidth="1"/>
    <col min="13584" max="13584" width="19.81640625" style="2" customWidth="1"/>
    <col min="13585" max="13585" width="34.1796875" style="2" customWidth="1"/>
    <col min="13586" max="13586" width="17" style="2" customWidth="1"/>
    <col min="13587" max="13587" width="36.453125" style="2" customWidth="1"/>
    <col min="13588" max="13588" width="26.54296875" style="2" customWidth="1"/>
    <col min="13589" max="13591" width="30.453125" style="2" customWidth="1"/>
    <col min="13592" max="13641" width="0" style="2" hidden="1" customWidth="1"/>
    <col min="13642" max="13829" width="11.453125" style="2"/>
    <col min="13830" max="13830" width="41.26953125" style="2" customWidth="1"/>
    <col min="13831" max="13832" width="40.453125" style="2" customWidth="1"/>
    <col min="13833" max="13833" width="27" style="2" customWidth="1"/>
    <col min="13834" max="13834" width="19" style="2" customWidth="1"/>
    <col min="13835" max="13835" width="26.7265625" style="2" customWidth="1"/>
    <col min="13836" max="13836" width="31.54296875" style="2" customWidth="1"/>
    <col min="13837" max="13837" width="17.7265625" style="2" customWidth="1"/>
    <col min="13838" max="13838" width="18.54296875" style="2" customWidth="1"/>
    <col min="13839" max="13839" width="21.7265625" style="2" customWidth="1"/>
    <col min="13840" max="13840" width="19.81640625" style="2" customWidth="1"/>
    <col min="13841" max="13841" width="34.1796875" style="2" customWidth="1"/>
    <col min="13842" max="13842" width="17" style="2" customWidth="1"/>
    <col min="13843" max="13843" width="36.453125" style="2" customWidth="1"/>
    <col min="13844" max="13844" width="26.54296875" style="2" customWidth="1"/>
    <col min="13845" max="13847" width="30.453125" style="2" customWidth="1"/>
    <col min="13848" max="13897" width="0" style="2" hidden="1" customWidth="1"/>
    <col min="13898" max="14085" width="11.453125" style="2"/>
    <col min="14086" max="14086" width="41.26953125" style="2" customWidth="1"/>
    <col min="14087" max="14088" width="40.453125" style="2" customWidth="1"/>
    <col min="14089" max="14089" width="27" style="2" customWidth="1"/>
    <col min="14090" max="14090" width="19" style="2" customWidth="1"/>
    <col min="14091" max="14091" width="26.7265625" style="2" customWidth="1"/>
    <col min="14092" max="14092" width="31.54296875" style="2" customWidth="1"/>
    <col min="14093" max="14093" width="17.7265625" style="2" customWidth="1"/>
    <col min="14094" max="14094" width="18.54296875" style="2" customWidth="1"/>
    <col min="14095" max="14095" width="21.7265625" style="2" customWidth="1"/>
    <col min="14096" max="14096" width="19.81640625" style="2" customWidth="1"/>
    <col min="14097" max="14097" width="34.1796875" style="2" customWidth="1"/>
    <col min="14098" max="14098" width="17" style="2" customWidth="1"/>
    <col min="14099" max="14099" width="36.453125" style="2" customWidth="1"/>
    <col min="14100" max="14100" width="26.54296875" style="2" customWidth="1"/>
    <col min="14101" max="14103" width="30.453125" style="2" customWidth="1"/>
    <col min="14104" max="14153" width="0" style="2" hidden="1" customWidth="1"/>
    <col min="14154" max="14341" width="11.453125" style="2"/>
    <col min="14342" max="14342" width="41.26953125" style="2" customWidth="1"/>
    <col min="14343" max="14344" width="40.453125" style="2" customWidth="1"/>
    <col min="14345" max="14345" width="27" style="2" customWidth="1"/>
    <col min="14346" max="14346" width="19" style="2" customWidth="1"/>
    <col min="14347" max="14347" width="26.7265625" style="2" customWidth="1"/>
    <col min="14348" max="14348" width="31.54296875" style="2" customWidth="1"/>
    <col min="14349" max="14349" width="17.7265625" style="2" customWidth="1"/>
    <col min="14350" max="14350" width="18.54296875" style="2" customWidth="1"/>
    <col min="14351" max="14351" width="21.7265625" style="2" customWidth="1"/>
    <col min="14352" max="14352" width="19.81640625" style="2" customWidth="1"/>
    <col min="14353" max="14353" width="34.1796875" style="2" customWidth="1"/>
    <col min="14354" max="14354" width="17" style="2" customWidth="1"/>
    <col min="14355" max="14355" width="36.453125" style="2" customWidth="1"/>
    <col min="14356" max="14356" width="26.54296875" style="2" customWidth="1"/>
    <col min="14357" max="14359" width="30.453125" style="2" customWidth="1"/>
    <col min="14360" max="14409" width="0" style="2" hidden="1" customWidth="1"/>
    <col min="14410" max="14597" width="11.453125" style="2"/>
    <col min="14598" max="14598" width="41.26953125" style="2" customWidth="1"/>
    <col min="14599" max="14600" width="40.453125" style="2" customWidth="1"/>
    <col min="14601" max="14601" width="27" style="2" customWidth="1"/>
    <col min="14602" max="14602" width="19" style="2" customWidth="1"/>
    <col min="14603" max="14603" width="26.7265625" style="2" customWidth="1"/>
    <col min="14604" max="14604" width="31.54296875" style="2" customWidth="1"/>
    <col min="14605" max="14605" width="17.7265625" style="2" customWidth="1"/>
    <col min="14606" max="14606" width="18.54296875" style="2" customWidth="1"/>
    <col min="14607" max="14607" width="21.7265625" style="2" customWidth="1"/>
    <col min="14608" max="14608" width="19.81640625" style="2" customWidth="1"/>
    <col min="14609" max="14609" width="34.1796875" style="2" customWidth="1"/>
    <col min="14610" max="14610" width="17" style="2" customWidth="1"/>
    <col min="14611" max="14611" width="36.453125" style="2" customWidth="1"/>
    <col min="14612" max="14612" width="26.54296875" style="2" customWidth="1"/>
    <col min="14613" max="14615" width="30.453125" style="2" customWidth="1"/>
    <col min="14616" max="14665" width="0" style="2" hidden="1" customWidth="1"/>
    <col min="14666" max="14853" width="11.453125" style="2"/>
    <col min="14854" max="14854" width="41.26953125" style="2" customWidth="1"/>
    <col min="14855" max="14856" width="40.453125" style="2" customWidth="1"/>
    <col min="14857" max="14857" width="27" style="2" customWidth="1"/>
    <col min="14858" max="14858" width="19" style="2" customWidth="1"/>
    <col min="14859" max="14859" width="26.7265625" style="2" customWidth="1"/>
    <col min="14860" max="14860" width="31.54296875" style="2" customWidth="1"/>
    <col min="14861" max="14861" width="17.7265625" style="2" customWidth="1"/>
    <col min="14862" max="14862" width="18.54296875" style="2" customWidth="1"/>
    <col min="14863" max="14863" width="21.7265625" style="2" customWidth="1"/>
    <col min="14864" max="14864" width="19.81640625" style="2" customWidth="1"/>
    <col min="14865" max="14865" width="34.1796875" style="2" customWidth="1"/>
    <col min="14866" max="14866" width="17" style="2" customWidth="1"/>
    <col min="14867" max="14867" width="36.453125" style="2" customWidth="1"/>
    <col min="14868" max="14868" width="26.54296875" style="2" customWidth="1"/>
    <col min="14869" max="14871" width="30.453125" style="2" customWidth="1"/>
    <col min="14872" max="14921" width="0" style="2" hidden="1" customWidth="1"/>
    <col min="14922" max="15109" width="11.453125" style="2"/>
    <col min="15110" max="15110" width="41.26953125" style="2" customWidth="1"/>
    <col min="15111" max="15112" width="40.453125" style="2" customWidth="1"/>
    <col min="15113" max="15113" width="27" style="2" customWidth="1"/>
    <col min="15114" max="15114" width="19" style="2" customWidth="1"/>
    <col min="15115" max="15115" width="26.7265625" style="2" customWidth="1"/>
    <col min="15116" max="15116" width="31.54296875" style="2" customWidth="1"/>
    <col min="15117" max="15117" width="17.7265625" style="2" customWidth="1"/>
    <col min="15118" max="15118" width="18.54296875" style="2" customWidth="1"/>
    <col min="15119" max="15119" width="21.7265625" style="2" customWidth="1"/>
    <col min="15120" max="15120" width="19.81640625" style="2" customWidth="1"/>
    <col min="15121" max="15121" width="34.1796875" style="2" customWidth="1"/>
    <col min="15122" max="15122" width="17" style="2" customWidth="1"/>
    <col min="15123" max="15123" width="36.453125" style="2" customWidth="1"/>
    <col min="15124" max="15124" width="26.54296875" style="2" customWidth="1"/>
    <col min="15125" max="15127" width="30.453125" style="2" customWidth="1"/>
    <col min="15128" max="15177" width="0" style="2" hidden="1" customWidth="1"/>
    <col min="15178" max="15365" width="11.453125" style="2"/>
    <col min="15366" max="15366" width="41.26953125" style="2" customWidth="1"/>
    <col min="15367" max="15368" width="40.453125" style="2" customWidth="1"/>
    <col min="15369" max="15369" width="27" style="2" customWidth="1"/>
    <col min="15370" max="15370" width="19" style="2" customWidth="1"/>
    <col min="15371" max="15371" width="26.7265625" style="2" customWidth="1"/>
    <col min="15372" max="15372" width="31.54296875" style="2" customWidth="1"/>
    <col min="15373" max="15373" width="17.7265625" style="2" customWidth="1"/>
    <col min="15374" max="15374" width="18.54296875" style="2" customWidth="1"/>
    <col min="15375" max="15375" width="21.7265625" style="2" customWidth="1"/>
    <col min="15376" max="15376" width="19.81640625" style="2" customWidth="1"/>
    <col min="15377" max="15377" width="34.1796875" style="2" customWidth="1"/>
    <col min="15378" max="15378" width="17" style="2" customWidth="1"/>
    <col min="15379" max="15379" width="36.453125" style="2" customWidth="1"/>
    <col min="15380" max="15380" width="26.54296875" style="2" customWidth="1"/>
    <col min="15381" max="15383" width="30.453125" style="2" customWidth="1"/>
    <col min="15384" max="15433" width="0" style="2" hidden="1" customWidth="1"/>
    <col min="15434" max="15621" width="11.453125" style="2"/>
    <col min="15622" max="15622" width="41.26953125" style="2" customWidth="1"/>
    <col min="15623" max="15624" width="40.453125" style="2" customWidth="1"/>
    <col min="15625" max="15625" width="27" style="2" customWidth="1"/>
    <col min="15626" max="15626" width="19" style="2" customWidth="1"/>
    <col min="15627" max="15627" width="26.7265625" style="2" customWidth="1"/>
    <col min="15628" max="15628" width="31.54296875" style="2" customWidth="1"/>
    <col min="15629" max="15629" width="17.7265625" style="2" customWidth="1"/>
    <col min="15630" max="15630" width="18.54296875" style="2" customWidth="1"/>
    <col min="15631" max="15631" width="21.7265625" style="2" customWidth="1"/>
    <col min="15632" max="15632" width="19.81640625" style="2" customWidth="1"/>
    <col min="15633" max="15633" width="34.1796875" style="2" customWidth="1"/>
    <col min="15634" max="15634" width="17" style="2" customWidth="1"/>
    <col min="15635" max="15635" width="36.453125" style="2" customWidth="1"/>
    <col min="15636" max="15636" width="26.54296875" style="2" customWidth="1"/>
    <col min="15637" max="15639" width="30.453125" style="2" customWidth="1"/>
    <col min="15640" max="15689" width="0" style="2" hidden="1" customWidth="1"/>
    <col min="15690" max="15877" width="11.453125" style="2"/>
    <col min="15878" max="15878" width="41.26953125" style="2" customWidth="1"/>
    <col min="15879" max="15880" width="40.453125" style="2" customWidth="1"/>
    <col min="15881" max="15881" width="27" style="2" customWidth="1"/>
    <col min="15882" max="15882" width="19" style="2" customWidth="1"/>
    <col min="15883" max="15883" width="26.7265625" style="2" customWidth="1"/>
    <col min="15884" max="15884" width="31.54296875" style="2" customWidth="1"/>
    <col min="15885" max="15885" width="17.7265625" style="2" customWidth="1"/>
    <col min="15886" max="15886" width="18.54296875" style="2" customWidth="1"/>
    <col min="15887" max="15887" width="21.7265625" style="2" customWidth="1"/>
    <col min="15888" max="15888" width="19.81640625" style="2" customWidth="1"/>
    <col min="15889" max="15889" width="34.1796875" style="2" customWidth="1"/>
    <col min="15890" max="15890" width="17" style="2" customWidth="1"/>
    <col min="15891" max="15891" width="36.453125" style="2" customWidth="1"/>
    <col min="15892" max="15892" width="26.54296875" style="2" customWidth="1"/>
    <col min="15893" max="15895" width="30.453125" style="2" customWidth="1"/>
    <col min="15896" max="15945" width="0" style="2" hidden="1" customWidth="1"/>
    <col min="15946" max="16133" width="11.453125" style="2"/>
    <col min="16134" max="16134" width="41.26953125" style="2" customWidth="1"/>
    <col min="16135" max="16136" width="40.453125" style="2" customWidth="1"/>
    <col min="16137" max="16137" width="27" style="2" customWidth="1"/>
    <col min="16138" max="16138" width="19" style="2" customWidth="1"/>
    <col min="16139" max="16139" width="26.7265625" style="2" customWidth="1"/>
    <col min="16140" max="16140" width="31.54296875" style="2" customWidth="1"/>
    <col min="16141" max="16141" width="17.7265625" style="2" customWidth="1"/>
    <col min="16142" max="16142" width="18.54296875" style="2" customWidth="1"/>
    <col min="16143" max="16143" width="21.7265625" style="2" customWidth="1"/>
    <col min="16144" max="16144" width="19.81640625" style="2" customWidth="1"/>
    <col min="16145" max="16145" width="34.1796875" style="2" customWidth="1"/>
    <col min="16146" max="16146" width="17" style="2" customWidth="1"/>
    <col min="16147" max="16147" width="36.453125" style="2" customWidth="1"/>
    <col min="16148" max="16148" width="26.54296875" style="2" customWidth="1"/>
    <col min="16149" max="16151" width="30.453125" style="2" customWidth="1"/>
    <col min="16152" max="16201" width="0" style="2" hidden="1" customWidth="1"/>
    <col min="16202" max="16384" width="11.453125" style="2"/>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60" t="s">
        <v>372</v>
      </c>
      <c r="V2" s="1061"/>
      <c r="W2" s="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60" t="s">
        <v>373</v>
      </c>
      <c r="V3" s="1061"/>
      <c r="W3" s="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3"/>
      <c r="C5" s="400"/>
      <c r="D5" s="3"/>
      <c r="E5" s="400"/>
      <c r="F5" s="4"/>
      <c r="G5" s="401"/>
      <c r="H5" s="4"/>
      <c r="I5" s="401"/>
      <c r="J5" s="4"/>
      <c r="K5" s="4"/>
      <c r="L5" s="4"/>
      <c r="M5" s="4"/>
      <c r="N5" s="4"/>
      <c r="O5" s="401"/>
      <c r="P5" s="4"/>
      <c r="Q5" s="4"/>
      <c r="W5" s="6"/>
      <c r="X5" s="6"/>
    </row>
    <row r="6" spans="1:72" x14ac:dyDescent="0.35">
      <c r="A6" s="1030" t="s">
        <v>3</v>
      </c>
      <c r="B6" s="1030"/>
      <c r="C6" s="1030"/>
      <c r="D6" s="1030"/>
      <c r="E6" s="82"/>
      <c r="F6" s="1044" t="s">
        <v>645</v>
      </c>
      <c r="G6" s="1045"/>
      <c r="H6" s="1045"/>
      <c r="I6" s="1045"/>
      <c r="J6" s="1045"/>
      <c r="K6" s="1045"/>
      <c r="L6" s="1045"/>
      <c r="M6" s="1045"/>
      <c r="N6" s="1045"/>
      <c r="O6" s="1045"/>
      <c r="P6" s="1045"/>
      <c r="Q6" s="1045"/>
      <c r="R6" s="1045"/>
      <c r="S6" s="1045"/>
      <c r="T6" s="1045"/>
      <c r="U6" s="1045"/>
      <c r="V6" s="1046"/>
      <c r="W6" s="6"/>
      <c r="X6" s="6"/>
    </row>
    <row r="7" spans="1:72" ht="6.75" customHeight="1" x14ac:dyDescent="0.35">
      <c r="B7" s="3"/>
      <c r="C7" s="400"/>
      <c r="D7" s="3"/>
      <c r="E7" s="400"/>
      <c r="F7" s="7"/>
      <c r="G7" s="405"/>
      <c r="H7" s="7"/>
      <c r="I7" s="405"/>
      <c r="J7" s="7"/>
      <c r="K7" s="7"/>
      <c r="L7" s="7"/>
      <c r="M7" s="7"/>
      <c r="N7" s="7"/>
      <c r="O7" s="405"/>
      <c r="P7" s="7"/>
      <c r="Q7" s="7"/>
      <c r="R7" s="8"/>
      <c r="S7" s="8"/>
      <c r="T7" s="8"/>
      <c r="U7" s="8"/>
      <c r="V7" s="8"/>
      <c r="W7" s="6"/>
      <c r="X7" s="6"/>
    </row>
    <row r="8" spans="1:72" ht="39.75" customHeight="1" x14ac:dyDescent="0.35">
      <c r="A8" s="1030" t="s">
        <v>4</v>
      </c>
      <c r="B8" s="1030"/>
      <c r="C8" s="1030"/>
      <c r="D8" s="1030"/>
      <c r="E8" s="82"/>
      <c r="F8" s="1047" t="str">
        <f>[27]IdentRiesgo!B3</f>
        <v xml:space="preserve">Evaluar de forma autónoma, objetiva e independiente el funcionamiento del Sistema Integrado de Gestión del IDEAM para el cumplimiento de  los objetivos y metas, a través de la realización de auditorías, seguimientos y verificaciones a las diferentes áreas, procesos, planes y/o proyectos, formulando recomendaciones para contribuir al mejoramiento continuo y al fortalecimiento institucional </v>
      </c>
      <c r="G8" s="1048"/>
      <c r="H8" s="1048"/>
      <c r="I8" s="1048"/>
      <c r="J8" s="1048"/>
      <c r="K8" s="1048"/>
      <c r="L8" s="1048"/>
      <c r="M8" s="1048"/>
      <c r="N8" s="1048"/>
      <c r="O8" s="1048"/>
      <c r="P8" s="1048"/>
      <c r="Q8" s="1048"/>
      <c r="R8" s="1048"/>
      <c r="S8" s="1048"/>
      <c r="T8" s="1048"/>
      <c r="U8" s="1048"/>
      <c r="V8" s="1049"/>
      <c r="W8" s="9"/>
      <c r="X8" s="9"/>
    </row>
    <row r="9" spans="1:72" ht="6.75" customHeight="1" x14ac:dyDescent="0.35">
      <c r="B9" s="10"/>
      <c r="C9" s="403"/>
      <c r="D9" s="10"/>
      <c r="E9" s="403"/>
      <c r="F9" s="11"/>
      <c r="G9" s="406"/>
      <c r="H9" s="11"/>
      <c r="I9" s="406"/>
      <c r="J9" s="11"/>
      <c r="K9" s="11"/>
      <c r="L9" s="11"/>
      <c r="M9" s="11"/>
      <c r="N9" s="11"/>
      <c r="O9" s="406"/>
      <c r="P9" s="11"/>
      <c r="Q9" s="11"/>
      <c r="R9" s="8"/>
      <c r="S9" s="8"/>
      <c r="T9" s="8"/>
      <c r="U9" s="8"/>
      <c r="V9" s="8"/>
      <c r="W9" s="6"/>
      <c r="X9" s="6"/>
    </row>
    <row r="10" spans="1:72" x14ac:dyDescent="0.35">
      <c r="A10" s="1030" t="s">
        <v>5</v>
      </c>
      <c r="B10" s="1030"/>
      <c r="C10" s="1030"/>
      <c r="D10" s="1030"/>
      <c r="E10" s="82"/>
      <c r="F10" s="1031" t="s">
        <v>77</v>
      </c>
      <c r="G10" s="1032"/>
      <c r="H10" s="1032"/>
      <c r="I10" s="1032"/>
      <c r="J10" s="1032"/>
      <c r="K10" s="1032"/>
      <c r="L10" s="1032"/>
      <c r="M10" s="1032"/>
      <c r="N10" s="1032"/>
      <c r="O10" s="1032"/>
      <c r="P10" s="1032"/>
      <c r="Q10" s="1032"/>
      <c r="R10" s="1032"/>
      <c r="S10" s="1032"/>
      <c r="T10" s="1032"/>
      <c r="U10" s="1032"/>
      <c r="V10" s="1033"/>
      <c r="W10" s="12"/>
      <c r="X10" s="12"/>
    </row>
    <row r="11" spans="1:72" ht="5.25" customHeight="1" x14ac:dyDescent="0.35">
      <c r="B11" s="3"/>
      <c r="C11" s="400"/>
      <c r="D11" s="3"/>
      <c r="E11" s="400"/>
      <c r="F11" s="13"/>
      <c r="G11" s="425"/>
      <c r="H11" s="13"/>
      <c r="I11" s="425"/>
      <c r="J11" s="13"/>
      <c r="K11" s="13"/>
      <c r="L11" s="13"/>
      <c r="M11" s="13"/>
      <c r="N11" s="13"/>
      <c r="O11" s="425"/>
      <c r="P11" s="13"/>
      <c r="Q11" s="13"/>
      <c r="R11" s="8"/>
      <c r="S11" s="8"/>
      <c r="T11" s="8"/>
      <c r="U11" s="8"/>
      <c r="V11" s="8"/>
      <c r="W11" s="6"/>
      <c r="X11" s="6"/>
    </row>
    <row r="12" spans="1:72" x14ac:dyDescent="0.35">
      <c r="A12" s="1030" t="s">
        <v>6</v>
      </c>
      <c r="B12" s="1030"/>
      <c r="C12" s="1030"/>
      <c r="D12" s="1030"/>
      <c r="E12" s="82"/>
      <c r="F12" s="1107">
        <v>42963.668840162034</v>
      </c>
      <c r="G12" s="1108"/>
      <c r="H12" s="1108"/>
      <c r="I12" s="1108"/>
      <c r="J12" s="1108"/>
      <c r="K12" s="1108"/>
      <c r="L12" s="1108"/>
      <c r="M12" s="1108"/>
      <c r="N12" s="1108"/>
      <c r="O12" s="1108"/>
      <c r="P12" s="1108"/>
      <c r="Q12" s="1108"/>
      <c r="R12" s="1108"/>
      <c r="S12" s="1108"/>
      <c r="T12" s="1108"/>
      <c r="U12" s="1108"/>
      <c r="V12" s="1109"/>
      <c r="W12" s="12"/>
      <c r="X12" s="12"/>
      <c r="AA12" s="2" t="s">
        <v>7</v>
      </c>
    </row>
    <row r="13" spans="1:72" ht="14.5" thickBot="1" x14ac:dyDescent="0.4">
      <c r="B13" s="3"/>
      <c r="C13" s="400"/>
      <c r="D13" s="3"/>
      <c r="E13" s="400"/>
      <c r="F13" s="14"/>
      <c r="G13" s="407"/>
      <c r="H13" s="15"/>
      <c r="I13" s="404"/>
      <c r="J13" s="15"/>
      <c r="K13" s="7"/>
      <c r="L13" s="15"/>
      <c r="M13" s="7"/>
      <c r="N13" s="7"/>
      <c r="O13" s="405"/>
      <c r="P13" s="7"/>
      <c r="Q13" s="7"/>
      <c r="R13" s="7"/>
      <c r="S13" s="15"/>
      <c r="T13" s="7"/>
      <c r="W13" s="6"/>
      <c r="X13" s="6"/>
      <c r="AA13" s="2"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420"/>
      <c r="J14" s="16"/>
      <c r="K14" s="1039" t="s">
        <v>13</v>
      </c>
      <c r="L14" s="1035" t="s">
        <v>14</v>
      </c>
      <c r="M14" s="1036"/>
      <c r="N14" s="1037"/>
      <c r="O14" s="941"/>
      <c r="P14" s="1042" t="s">
        <v>15</v>
      </c>
      <c r="Q14" s="1042"/>
      <c r="R14" s="1042"/>
      <c r="S14" s="1042" t="s">
        <v>16</v>
      </c>
      <c r="T14" s="1042"/>
      <c r="U14" s="1042"/>
      <c r="V14" s="1042"/>
    </row>
    <row r="15" spans="1:72" s="17" customFormat="1" ht="14.25" customHeight="1" x14ac:dyDescent="0.35">
      <c r="A15" s="1040" t="s">
        <v>17</v>
      </c>
      <c r="B15" s="1040" t="s">
        <v>18</v>
      </c>
      <c r="C15" s="942"/>
      <c r="D15" s="1040" t="s">
        <v>19</v>
      </c>
      <c r="E15" s="942"/>
      <c r="F15" s="1018" t="s">
        <v>20</v>
      </c>
      <c r="G15" s="1018"/>
      <c r="H15" s="1018"/>
      <c r="I15" s="938"/>
      <c r="J15" s="18"/>
      <c r="K15" s="1040"/>
      <c r="L15" s="1023" t="s">
        <v>21</v>
      </c>
      <c r="M15" s="1024"/>
      <c r="N15" s="1025"/>
      <c r="O15" s="940"/>
      <c r="P15" s="1023" t="s">
        <v>22</v>
      </c>
      <c r="Q15" s="1024"/>
      <c r="R15" s="1025"/>
      <c r="S15" s="1018" t="s">
        <v>23</v>
      </c>
      <c r="T15" s="1018" t="s">
        <v>24</v>
      </c>
      <c r="U15" s="1018" t="s">
        <v>5</v>
      </c>
      <c r="V15" s="1018" t="s">
        <v>25</v>
      </c>
    </row>
    <row r="16" spans="1:72" s="17" customFormat="1" ht="63" customHeight="1" x14ac:dyDescent="0.35">
      <c r="A16" s="1043"/>
      <c r="B16" s="1043"/>
      <c r="C16" s="943" t="s">
        <v>96</v>
      </c>
      <c r="D16" s="1043"/>
      <c r="E16" s="943" t="s">
        <v>97</v>
      </c>
      <c r="F16" s="18" t="s">
        <v>26</v>
      </c>
      <c r="G16" s="938" t="s">
        <v>96</v>
      </c>
      <c r="H16" s="18" t="s">
        <v>10</v>
      </c>
      <c r="I16" s="938" t="s">
        <v>96</v>
      </c>
      <c r="J16" s="18" t="s">
        <v>27</v>
      </c>
      <c r="K16" s="1041"/>
      <c r="L16" s="19" t="s">
        <v>26</v>
      </c>
      <c r="M16" s="19" t="s">
        <v>10</v>
      </c>
      <c r="N16" s="20" t="s">
        <v>27</v>
      </c>
      <c r="O16" s="943" t="s">
        <v>100</v>
      </c>
      <c r="P16" s="18" t="s">
        <v>28</v>
      </c>
      <c r="Q16" s="18" t="s">
        <v>24</v>
      </c>
      <c r="R16" s="18" t="s">
        <v>29</v>
      </c>
      <c r="S16" s="1018"/>
      <c r="T16" s="1018"/>
      <c r="U16" s="1018"/>
      <c r="V16" s="1018"/>
    </row>
    <row r="17" spans="1:70" ht="230.25" customHeight="1" x14ac:dyDescent="0.35">
      <c r="A17" s="946" t="s">
        <v>541</v>
      </c>
      <c r="B17" s="946" t="s">
        <v>542</v>
      </c>
      <c r="C17" s="946" t="s">
        <v>543</v>
      </c>
      <c r="D17" s="946" t="s">
        <v>544</v>
      </c>
      <c r="E17" s="947" t="s">
        <v>106</v>
      </c>
      <c r="F17" s="948">
        <v>1</v>
      </c>
      <c r="G17" s="948" t="s">
        <v>121</v>
      </c>
      <c r="H17" s="949">
        <v>2</v>
      </c>
      <c r="I17" s="949" t="s">
        <v>169</v>
      </c>
      <c r="J17" s="950" t="s">
        <v>48</v>
      </c>
      <c r="K17" s="956" t="s">
        <v>545</v>
      </c>
      <c r="L17" s="1106" t="s">
        <v>26</v>
      </c>
      <c r="M17" s="1106"/>
      <c r="N17" s="950" t="s">
        <v>48</v>
      </c>
      <c r="O17" s="951" t="s">
        <v>546</v>
      </c>
      <c r="P17" s="952" t="s">
        <v>547</v>
      </c>
      <c r="Q17" s="953" t="s">
        <v>548</v>
      </c>
      <c r="R17" s="952" t="s">
        <v>549</v>
      </c>
      <c r="S17" s="957">
        <v>42947</v>
      </c>
      <c r="T17" s="955" t="s">
        <v>550</v>
      </c>
      <c r="U17" s="952" t="s">
        <v>551</v>
      </c>
      <c r="V17" s="954" t="s">
        <v>552</v>
      </c>
      <c r="X17" s="28" t="str">
        <f>IF(AND(F17=1,H17=5),$H$25,IF(AND(F17=1,H17=10),$J$25,IF(AND(F17=1,H17=20),$K$25," ")))</f>
        <v xml:space="preserve"> </v>
      </c>
      <c r="Y17" s="28" t="str">
        <f>IF(AND(F17=2,H17=5),$H$26,IF(AND(F17=2,H17=10),$J$26,IF(AND(F17=2,H17=20),$K$26," ")))</f>
        <v xml:space="preserve"> </v>
      </c>
      <c r="Z17" s="28" t="str">
        <f>IF(AND(F17=3,H17=5),$H$27,IF(AND(F17=3,H17=10),$J$27,IF(AND(F17=3,H17=20),$K$27," ")))</f>
        <v xml:space="preserve"> </v>
      </c>
      <c r="AA17" s="28" t="str">
        <f>IF(AND(F17=4,H17=5),$H$28,IF(AND(F17=4,H17=10),$J$28,IF(AND(F17=4,H17=20),$K$28," ")))</f>
        <v xml:space="preserve"> </v>
      </c>
      <c r="AB17" s="28" t="str">
        <f>IF(AND(F17=5,H17=5),$H$29,IF(AND(F17=5,H17=10),$J$29,IF(AND(F17=5,H17=20),$K$29," ")))</f>
        <v xml:space="preserve"> </v>
      </c>
      <c r="AD17" s="29" t="s">
        <v>31</v>
      </c>
      <c r="AE17" s="28" t="str">
        <f>IF(AND(L17&gt;0,[27]EvaluaciónRiesgoCorrupR1!$F$11&gt;75,F17=1,H17=5),$H$25,IF(AND(L17&gt;0,[27]EvaluaciónRiesgoCorrupR1!$F$11&gt;75,F17=1,H17=10),$J$25,IF(AND(L17&gt;0,[27]EvaluaciónRiesgoCorrupR1!$F$11&gt;75,F17=1,H17=20),$K$25," ")))</f>
        <v xml:space="preserve"> </v>
      </c>
      <c r="AF17" s="28" t="str">
        <f>IF(AND(L17&gt;0,[27]EvaluaciónRiesgoCorrupR1!$F$11&gt;75,F17=2,H17=5),$H$25,IF(AND(L17&gt;0,[27]EvaluaciónRiesgoCorrupR1!$F$11&gt;75,F17=2,H17=10),$J$25,IF(AND(L17&gt;0,[27]EvaluaciónRiesgoCorrupR1!$F$11&gt;75,F17=2,H17=20),$K$25," ")))</f>
        <v xml:space="preserve"> </v>
      </c>
      <c r="AG17" s="28" t="str">
        <f>IF(AND(L17&gt;0,[27]EvaluaciónRiesgoCorrupR1!$F$11&gt;75,F17=3,H17=5),$H$25,IF(AND(L17&gt;0,[27]EvaluaciónRiesgoCorrupR1!$F$11&gt;75,F17=3,H17=10),$J$25,IF(AND(L17&gt;0,[27]EvaluaciónRiesgoCorrupR1!$F$11&gt;75,F17=3,H17=20),$K$25," ")))</f>
        <v xml:space="preserve"> </v>
      </c>
      <c r="AH17" s="28" t="str">
        <f>IF(AND(L17&gt;0,[27]EvaluaciónRiesgoCorrupR1!$F$11&gt;75,F17=4,H17=5),$H$26,IF(AND(L17&gt;0,[27]EvaluaciónRiesgoCorrupR1!$F$11&gt;75,F17=4,H17=10),$J$26,IF(AND(L17&gt;0,[27]EvaluaciónRiesgoCorrupR1!$F$11&gt;75,F17=4,H17=20),$K$26," ")))</f>
        <v xml:space="preserve"> </v>
      </c>
      <c r="AI17" s="28" t="str">
        <f>IF(AND(L17&gt;0,[27]EvaluaciónRiesgoCorrupR1!$F$11&gt;75,F17=5,H17=5),$H$27,IF(AND(L17&gt;0,[27]EvaluaciónRiesgoCorrupR1!$F$11&gt;75,F17=5,H17=10),$J$27,IF(AND(L17&gt;0,[27]EvaluaciónRiesgoCorrupR1!$F$11&gt;75,F17=5,H17=20),$K$27," ")))</f>
        <v xml:space="preserve"> </v>
      </c>
      <c r="AJ17" s="29" t="s">
        <v>32</v>
      </c>
      <c r="AK17" s="28" t="str">
        <f>IF(AND(L17&gt;0,[27]EvaluaciónRiesgoCorrupR1!$F$11&gt;50,[27]EvaluaciónRiesgoCorrupR1!$F$11&lt;76,F17=1,H17=5),$H$25,IF(AND(L17&gt;0,[27]EvaluaciónRiesgoCorrupR1!$F$11&gt;50,[27]EvaluaciónRiesgoCorrupR1!$F$11&lt;76,F17=1,H17=10),$J$25,IF(AND(L17&gt;0,[27]EvaluaciónRiesgoCorrupR1!$F$11&gt;50,[27]EvaluaciónRiesgoCorrupR1!$F$11&lt;76,F17=1,H17=20),$K$25," ")))</f>
        <v xml:space="preserve"> </v>
      </c>
      <c r="AL17" s="28" t="str">
        <f>IF(AND(L17&gt;0,[27]EvaluaciónRiesgoCorrupR1!$F$11&gt;50,[27]EvaluaciónRiesgoCorrupR1!$F$11&lt;76,F17=2,H17=5),$H$25,IF(AND(L17&gt;0,[27]EvaluaciónRiesgoCorrupR1!$F$11&gt;50,[27]EvaluaciónRiesgoCorrupR1!$F$11&lt;76,F17=2,H17=10),$J$25,IF(AND(L17&gt;0,[27]EvaluaciónRiesgoCorrupR1!$F$11&gt;50,[27]EvaluaciónRiesgoCorrupR1!$F$11&lt;76,F17=2,H17=20),$K$25," ")))</f>
        <v xml:space="preserve"> </v>
      </c>
      <c r="AM17" s="28" t="str">
        <f>IF(AND(L17&gt;0,[27]EvaluaciónRiesgoCorrupR1!$F$11&gt;50,[27]EvaluaciónRiesgoCorrupR1!$F$11&lt;76,F17=3,H17=5),$H$26,IF(AND(L17&gt;0,[27]EvaluaciónRiesgoCorrupR1!$F$11&gt;50,[27]EvaluaciónRiesgoCorrupR1!$F$11&lt;76,F17=3,H17=10),$J$26,IF(AND(L17&gt;0,[27]EvaluaciónRiesgoCorrupR1!$F$11&gt;50,[27]EvaluaciónRiesgoCorrupR1!$F$11&lt;76,F17=3,H17=20),$K$26," ")))</f>
        <v xml:space="preserve"> </v>
      </c>
      <c r="AN17" s="28" t="str">
        <f>IF(AND(L17&gt;0,[27]EvaluaciónRiesgoCorrupR1!$F$11&gt;50,[27]EvaluaciónRiesgoCorrupR1!$F$11&lt;76,F17=4,H17=5),$H$27,IF(AND(L17&gt;0,[27]EvaluaciónRiesgoCorrupR1!$F$11&gt;50,[27]EvaluaciónRiesgoCorrupR1!$F$11&lt;76,F17=4,H17=10),$J$27,IF(AND(L17&gt;0,[27]EvaluaciónRiesgoCorrupR1!$F$11&gt;50,[27]EvaluaciónRiesgoCorrupR1!$F$11&lt;76,F17=4,H17=20),$K$27," ")))</f>
        <v xml:space="preserve"> </v>
      </c>
      <c r="AO17" s="28" t="str">
        <f>IF(AND(L17&gt;0,[27]EvaluaciónRiesgoCorrupR1!$F$11&gt;50,[27]EvaluaciónRiesgoCorrupR1!$F$11&lt;76,F17=5,H17=5),$H$28,IF(AND(L17&gt;0,[27]EvaluaciónRiesgoCorrupR1!$F$11&gt;50,[27]EvaluaciónRiesgoCorrupR1!$F$11&lt;76,F17=5,H17=10),$J$28,IF(AND(L17&gt;0,[27]EvaluaciónRiesgoCorrupR1!$F$11&gt;50,[27]EvaluaciónRiesgoCorrupR1!$F$11&lt;76,F17=5,H17=20),$K$28," ")))</f>
        <v xml:space="preserve"> </v>
      </c>
      <c r="AQ17" s="29" t="s">
        <v>33</v>
      </c>
      <c r="AR17" s="28" t="str">
        <f>IF(AND(L17&gt;0,[27]EvaluaciónRiesgoCorrupR1!$F$11&lt;51,F17=1,H17=5),$H$25,IF(AND(L17&gt;0,[27]EvaluaciónRiesgoCorrupR1!$F$11&lt;51,F17=1,H17=10),$J$25,IF(AND(L17&gt;0,[27]EvaluaciónRiesgoCorrupR1!$F$11&lt;51,F17=1,H17=20),K$25," ")))</f>
        <v xml:space="preserve"> </v>
      </c>
      <c r="AS17" s="28" t="str">
        <f>IF(AND(L17&gt;0,[27]EvaluaciónRiesgoCorrupR1!$F$11&lt;51,F17=2,H17=5),$H$26,IF(AND(L17&gt;0,[27]EvaluaciónRiesgoCorrupR1!$F$11&lt;51,F17=2,H17=10),$J$26,IF(AND(L17&gt;0,[27]EvaluaciónRiesgoCorrupR1!$F$11&lt;51,F17=2,H17=20),K$26," ")))</f>
        <v xml:space="preserve"> </v>
      </c>
      <c r="AT17" s="28" t="str">
        <f>IF(AND(L17&gt;0,[27]EvaluaciónRiesgoCorrupR1!$F$11&lt;51,F17=3,H17=5),$H$27,IF(AND(L17&gt;0,[27]EvaluaciónRiesgoCorrupR1!$F$11&lt;51,F17=3,H17=10),$J$27,IF(AND(L17&gt;0,[27]EvaluaciónRiesgoCorrupR1!$F$11&lt;51,F17=3,H17=20),K$27," ")))</f>
        <v xml:space="preserve"> </v>
      </c>
      <c r="AU17" s="28" t="str">
        <f>IF(AND(L17&gt;0,[27]EvaluaciónRiesgoCorrupR1!$F$11&lt;51,F17=4,H17=5),$H$28,IF(AND(L17&gt;0,[27]EvaluaciónRiesgoCorrupR1!$F$11&lt;51,F17=4,H17=10),$J$28,IF(AND(L17&gt;0,[27]EvaluaciónRiesgoCorrupR1!$F$11&lt;51,F17=4,H17=20),K$28," ")))</f>
        <v xml:space="preserve"> </v>
      </c>
      <c r="AV17" s="28" t="str">
        <f>IF(AND(L17&gt;0,[27]EvaluaciónRiesgoCorrupR1!$F$11&lt;51,F17=5,H17=5),$H$29,IF(AND(L17&gt;0,[27]EvaluaciónRiesgoCorrupR1!$F$11&lt;51,F17=5,H17=10),$J$29,IF(AND(L17&gt;0,[27]EvaluaciónRiesgoCorrupR1!$F$11&lt;51,F17=5,H17=20),K$29," ")))</f>
        <v xml:space="preserve"> </v>
      </c>
      <c r="AY17" s="29" t="s">
        <v>31</v>
      </c>
      <c r="AZ17" s="28" t="str">
        <f>IF(AND(M17&gt;0,[27]EvaluaciónRiesgoCorrupR1!$F$11&gt;75,F17=1,H17=5),$H$25,IF(AND(M17&gt;0,[27]EvaluaciónRiesgoCorrupR1!$F$11&gt;75,F17=1,H17=10),$H$25,IF(AND(M17&gt;0,[27]EvaluaciónRiesgoCorrupR1!$F$11&gt;75,F17=1,H17=20),$H$25," ")))</f>
        <v xml:space="preserve"> </v>
      </c>
      <c r="BA17" s="28" t="str">
        <f>IF(AND(M17&gt;0,[27]EvaluaciónRiesgoCorrupR1!$F$11&gt;75,F17=2,H17=5),$H$26,IF(AND(M17&gt;0,[27]EvaluaciónRiesgoCorrupR1!$F$11&gt;75,F17=2,H17=10),$H$26,IF(AND(M17&gt;0,[27]EvaluaciónRiesgoCorrupR1!$F$11&gt;75,F17=2,H17=20),$H$26," ")))</f>
        <v xml:space="preserve"> </v>
      </c>
      <c r="BB17" s="28" t="str">
        <f>IF(AND(M17&gt;0,[27]EvaluaciónRiesgoCorrupR1!$F$11&gt;75,F17=3,H17=5),$H$27,IF(AND(M17&gt;0,[27]EvaluaciónRiesgoCorrupR1!$F$11&gt;75,F17=3,H17=10),$H$27,IF(AND(M17&gt;0,[27]EvaluaciónRiesgoCorrupR1!$F$11&gt;75,F17=3,H17=20),$H$27," ")))</f>
        <v xml:space="preserve"> </v>
      </c>
      <c r="BC17" s="28" t="str">
        <f>IF(AND(M17&gt;0,[27]EvaluaciónRiesgoCorrupR1!$F$11&gt;75,F17=4,H17=5),$H$28,IF(AND(M17&gt;0,[27]EvaluaciónRiesgoCorrupR1!$F$11&gt;75,F17=4,H17=10),$H$28,IF(AND(M17&gt;0,[27]EvaluaciónRiesgoCorrupR1!$F$11&gt;75,F17=4,H17=20),$H$28," ")))</f>
        <v xml:space="preserve"> </v>
      </c>
      <c r="BD17" s="28" t="str">
        <f>IF(AND(M17&gt;0,[27]EvaluaciónRiesgoCorrupR1!$F$11&gt;75,F17=5,H17=5),$H$29,IF(AND(M17&gt;0,[27]EvaluaciónRiesgoCorrupR1!$F$11&gt;75,F17=5,H17=10),$H$29,IF(AND(M17&gt;0,[27]EvaluaciónRiesgoCorrupR1!$F$11&gt;75,F17=5,H17=20),$H$29," ")))</f>
        <v xml:space="preserve"> </v>
      </c>
      <c r="BF17" s="29" t="s">
        <v>32</v>
      </c>
      <c r="BG17" s="28" t="str">
        <f>IF(AND(M17&gt;0,[27]EvaluaciónRiesgoCorrupR1!$F$11&gt;50,[27]EvaluaciónRiesgoCorrupR1!$F$11&lt;76,F17=1,H17=5),$H$25,IF(AND(M17&gt;0,[27]EvaluaciónRiesgoCorrupR1!$F$11&gt;50,[27]EvaluaciónRiesgoCorrupR1!$F$11&lt;76,F17=1,H17=10),$H$25,IF(AND(M17&gt;0,[27]EvaluaciónRiesgoCorrupR1!$F$11&gt;50,[27]EvaluaciónRiesgoCorrupR1!$F$11&lt;76,F17=1,H17=20),$J$25," ")))</f>
        <v xml:space="preserve"> </v>
      </c>
      <c r="BH17" s="28" t="str">
        <f>IF(AND(M17&gt;0,[27]EvaluaciónRiesgoCorrupR1!$F$11&gt;50,[27]EvaluaciónRiesgoCorrupR1!$F$11&lt;76,F17=2,H17=5),$H$26,IF(AND(M17&gt;0,[27]EvaluaciónRiesgoCorrupR1!$F$11&gt;50,[27]EvaluaciónRiesgoCorrupR1!$F$11&lt;76,F17=2,H17=10),$H$26,IF(AND(M17&gt;0,[27]EvaluaciónRiesgoCorrupR1!$F$11&gt;50,[27]EvaluaciónRiesgoCorrupR1!$F$11&lt;76,F17=2,H17=20),$J$26," ")))</f>
        <v xml:space="preserve"> </v>
      </c>
      <c r="BI17" s="28" t="str">
        <f>IF(AND(M17&gt;0,[27]EvaluaciónRiesgoCorrupR1!$F$11&gt;50,[27]EvaluaciónRiesgoCorrupR1!$F$11&lt;76,F17=3,H17=5),$H$27,IF(AND(M17&gt;0,[27]EvaluaciónRiesgoCorrupR1!$F$11&gt;50,[27]EvaluaciónRiesgoCorrupR1!$F$11&lt;76,F17=3,H17=10),$H$27,IF(AND(M17&gt;0,[27]EvaluaciónRiesgoCorrupR1!$F$11&gt;50,[27]EvaluaciónRiesgoCorrupR1!$F$11&lt;76,F17=3,H17=20),$J$27," ")))</f>
        <v xml:space="preserve"> </v>
      </c>
      <c r="BJ17" s="28" t="str">
        <f>IF(AND(M17&gt;0,[27]EvaluaciónRiesgoCorrupR1!$F$11&gt;50,[27]EvaluaciónRiesgoCorrupR1!$F$11&lt;76,F17=4,H17=5),$H$28,IF(AND(M17&gt;0,[27]EvaluaciónRiesgoCorrupR1!$F$11&gt;50,[27]EvaluaciónRiesgoCorrupR1!$F$11&lt;76,F17=4,H17=10),$H$28,IF(AND(M17&gt;0,[27]EvaluaciónRiesgoCorrupR1!$F$11&gt;50,[27]EvaluaciónRiesgoCorrupR1!$F$11&lt;76,F17=4,H17=20),$J$28," ")))</f>
        <v xml:space="preserve"> </v>
      </c>
      <c r="BK17" s="28" t="str">
        <f>IF(AND(M17&gt;0,[27]EvaluaciónRiesgoCorrupR1!$F$11&gt;50,[27]EvaluaciónRiesgoCorrupR1!$F$11&lt;76,F17=5,H17=5),$H$29,IF(AND(M17&gt;0,[27]EvaluaciónRiesgoCorrupR1!$F$11&gt;50,[27]EvaluaciónRiesgoCorrupR1!$F$11&lt;76,F17=5,H17=10),$H$29,IF(AND(M17&gt;0,[27]EvaluaciónRiesgoCorrupR1!$F$11&gt;50,[27]EvaluaciónRiesgoCorrupR1!$F$11&lt;76,F17=5,H17=20),$J$29," ")))</f>
        <v xml:space="preserve"> </v>
      </c>
      <c r="BM17" s="29" t="s">
        <v>33</v>
      </c>
      <c r="BN17" s="28" t="str">
        <f>IF(AND(M17&gt;0,[27]EvaluaciónRiesgoCorrupR1!$F$11&lt;51,F17=1,H17=5),$H$25,IF(AND(M17&gt;0,[27]EvaluaciónRiesgoCorrupR1!$F$11&lt;51,F17=1,H17=10),$J$25,IF(AND(M17&gt;0,[27]EvaluaciónRiesgoCorrupR1!$F$11&lt;51,F17=1,H17=20),$K$25," ")))</f>
        <v xml:space="preserve"> </v>
      </c>
      <c r="BO17" s="28" t="str">
        <f>IF(AND(M17&gt;0,[27]EvaluaciónRiesgoCorrupR1!$F$11&lt;51,F17=2,H17=5),$H$26,IF(AND(M17&gt;0,[27]EvaluaciónRiesgoCorrupR1!$F$11&lt;51,F17=2,H17=10),$J$26,IF(AND(M17&gt;0,[27]EvaluaciónRiesgoCorrupR1!$F$11&lt;51,F17=2,H17=20),$K$26," ")))</f>
        <v xml:space="preserve"> </v>
      </c>
      <c r="BP17" s="28" t="str">
        <f>IF(AND(M17&gt;0,[27]EvaluaciónRiesgoCorrupR1!$F$11&lt;51,F17=3,H17=5),$H$27,IF(AND(M17&gt;0,[27]EvaluaciónRiesgoCorrupR1!$F$11&lt;51,F17=3,H17=10),$J$27,IF(AND(M17&gt;0,[27]EvaluaciónRiesgoCorrupR1!$F$11&lt;51,F17=3,H17=20),$K$27," ")))</f>
        <v xml:space="preserve"> </v>
      </c>
      <c r="BQ17" s="28" t="str">
        <f>IF(AND(M17&gt;0,[27]EvaluaciónRiesgoCorrupR1!$F$11&lt;51,F17=4,H17=5),$H$28,IF(AND(M17&gt;0,[27]EvaluaciónRiesgoCorrupR1!$F$11&lt;51,F17=4,H17=10),$J$28,IF(AND(M17&gt;0,[27]EvaluaciónRiesgoCorrupR1!$F$11&lt;51,F17=4,H17=20),$K$28," ")))</f>
        <v xml:space="preserve"> </v>
      </c>
      <c r="BR17" s="28" t="str">
        <f>IF(AND(M17&gt;0,[27]EvaluaciónRiesgoCorrupR1!$F$11&lt;51,F17=5,H17=5),$H$29,IF(AND(M17&gt;0,[27]EvaluaciónRiesgoCorrupR1!$F$11&lt;51,F17=5,H17=10),$J$29,IF(AND(M17&gt;0,[27]EvaluaciónRiesgoCorrupR1!$F$11&lt;51,F17=5,H17=20),$K$29," ")))</f>
        <v xml:space="preserve"> </v>
      </c>
    </row>
    <row r="18" spans="1:70" ht="258.75" customHeight="1" x14ac:dyDescent="0.35">
      <c r="A18" s="959" t="s">
        <v>553</v>
      </c>
      <c r="B18" s="959" t="s">
        <v>554</v>
      </c>
      <c r="C18" s="959" t="s">
        <v>555</v>
      </c>
      <c r="D18" s="959" t="s">
        <v>556</v>
      </c>
      <c r="E18" s="960" t="s">
        <v>106</v>
      </c>
      <c r="F18" s="961">
        <v>3</v>
      </c>
      <c r="G18" s="961" t="s">
        <v>107</v>
      </c>
      <c r="H18" s="962">
        <v>4</v>
      </c>
      <c r="I18" s="962" t="s">
        <v>108</v>
      </c>
      <c r="J18" s="963" t="s">
        <v>53</v>
      </c>
      <c r="K18" s="970" t="s">
        <v>557</v>
      </c>
      <c r="L18" s="1106" t="s">
        <v>26</v>
      </c>
      <c r="M18" s="1106"/>
      <c r="N18" s="963" t="s">
        <v>51</v>
      </c>
      <c r="O18" s="964" t="s">
        <v>558</v>
      </c>
      <c r="P18" s="965" t="s">
        <v>282</v>
      </c>
      <c r="Q18" s="967" t="s">
        <v>559</v>
      </c>
      <c r="R18" s="965" t="s">
        <v>549</v>
      </c>
      <c r="S18" s="969">
        <v>42947</v>
      </c>
      <c r="T18" s="968" t="s">
        <v>560</v>
      </c>
      <c r="U18" s="965" t="s">
        <v>561</v>
      </c>
      <c r="V18" s="966" t="s">
        <v>562</v>
      </c>
      <c r="X18" s="28" t="str">
        <f>IF(AND(F18=1,H18=5),$H$25,IF(AND(F18=1,H18=10),$J$25,IF(AND(F18=1,H18=20),$K$25," ")))</f>
        <v xml:space="preserve"> </v>
      </c>
      <c r="Y18" s="28" t="str">
        <f>IF(AND(F18=2,H18=5),$H$26,IF(AND(F18=2,H18=10),$J$26,IF(AND(F18=2,H18=20),$K$26," ")))</f>
        <v xml:space="preserve"> </v>
      </c>
      <c r="Z18" s="28" t="str">
        <f>IF(AND(F18=3,H18=5),$H$27,IF(AND(F18=3,H18=10),$J$27,IF(AND(F18=3,H18=20),$K$27," ")))</f>
        <v xml:space="preserve"> </v>
      </c>
      <c r="AA18" s="28" t="str">
        <f>IF(AND(F18=4,H18=5),$H$28,IF(AND(F18=4,H18=10),$J$28,IF(AND(F18=4,H18=20),$K$28," ")))</f>
        <v xml:space="preserve"> </v>
      </c>
      <c r="AB18" s="28" t="str">
        <f>IF(AND(F18=5,H18=5),$H$29,IF(AND(F18=5,H18=10),$J$29,IF(AND(F18=5,H18=20),$K$29," ")))</f>
        <v xml:space="preserve"> </v>
      </c>
      <c r="AE18" s="28" t="str">
        <f>IF(AND(L18&gt;0,[27]EvaluaciónRiesgoCorrupR2!$F$11&gt;75,F18=1,H18=5),$H$25,IF(AND(L18&gt;0,[27]EvaluaciónRiesgoCorrupR2!$F$11&gt;75,F18=1,H18=10),$J$25,IF(AND(L18&gt;0,[27]EvaluaciónRiesgoCorrupR2!$F$11&gt;75,F18=1,H18=20),$K$25," ")))</f>
        <v xml:space="preserve"> </v>
      </c>
      <c r="AF18" s="28" t="str">
        <f>IF(AND(L18&gt;0,[27]EvaluaciónRiesgoCorrupR2!$F$11&gt;75,F18=2,H18=5),$H$25,IF(AND(L18&gt;0,[27]EvaluaciónRiesgoCorrupR2!$F$11&gt;75,F18=2,H18=10),$J$25,IF(AND(L18&gt;0,[27]EvaluaciónRiesgoCorrupR2!$F$11&gt;75,F18=2,H18=20),$K$25," ")))</f>
        <v xml:space="preserve"> </v>
      </c>
      <c r="AG18" s="28" t="str">
        <f>IF(AND(L18&gt;0,[27]EvaluaciónRiesgoCorrupR2!$F$11&gt;75,F18=3,H18=5),$H$25,IF(AND(L18&gt;0,[27]EvaluaciónRiesgoCorrupR2!$F$11&gt;75,F18=3,H18=10),$J$25,IF(AND(L18&gt;0,[27]EvaluaciónRiesgoCorrupR2!$F$11&gt;75,F18=3,H18=20),$K$25," ")))</f>
        <v xml:space="preserve"> </v>
      </c>
      <c r="AH18" s="28" t="str">
        <f>IF(AND(L18&gt;0,[27]EvaluaciónRiesgoCorrupR2!$F$11&gt;75,F18=4,H18=5),$H$26,IF(AND(L18&gt;0,[27]EvaluaciónRiesgoCorrupR2!$F$11&gt;75,F18=4,H18=10),$J$26,IF(AND(L18&gt;0,[27]EvaluaciónRiesgoCorrupR2!$F$11&gt;75,F18=4,H18=20),$K$26," ")))</f>
        <v xml:space="preserve"> </v>
      </c>
      <c r="AI18" s="28" t="str">
        <f>IF(AND(L18&gt;0,[27]EvaluaciónRiesgoCorrupR2!$F$11&gt;75,F18=5,H18=5),$H$27,IF(AND(L18&gt;0,[27]EvaluaciónRiesgoCorrupR2!$F$11&gt;75,F18=5,H18=10),$J$27,IF(AND(L18&gt;0,[27]EvaluaciónRiesgoCorrupR2!$F$11&gt;75,F18=5,H18=20),$K$27," ")))</f>
        <v xml:space="preserve"> </v>
      </c>
      <c r="AK18" s="28" t="str">
        <f>IF(AND(L18&gt;0,[27]EvaluaciónRiesgoCorrupR2!$F$11&gt;50,[27]EvaluaciónRiesgoCorrupR2!$F$11&lt;76,F18=1,H18=5),$H$25,IF(AND(L18&gt;0,[27]EvaluaciónRiesgoCorrupR2!$F$11&gt;50,[27]EvaluaciónRiesgoCorrupR2!$F$11&lt;76,F18=1,H18=10),$J$25,IF(AND(L18&gt;0,[27]EvaluaciónRiesgoCorrupR2!$F$11&gt;50,[27]EvaluaciónRiesgoCorrupR2!$F$11&lt;76,F18=1,H18=20),$K$25," ")))</f>
        <v xml:space="preserve"> </v>
      </c>
      <c r="AL18" s="28" t="str">
        <f>IF(AND(L18&gt;0,[27]EvaluaciónRiesgoCorrupR2!$F$11&gt;50,[27]EvaluaciónRiesgoCorrupR2!$F$11&lt;76,F18=2,H18=5),$H$25,IF(AND(L18&gt;0,[27]EvaluaciónRiesgoCorrupR2!$F$11&gt;50,[27]EvaluaciónRiesgoCorrupR2!$F$11&lt;76,F18=2,H18=10),$J$25,IF(AND(L18&gt;0,[27]EvaluaciónRiesgoCorrupR2!$F$11&gt;50,[27]EvaluaciónRiesgoCorrupR2!$F$11&lt;76,F18=2,H18=20),$K$25," ")))</f>
        <v xml:space="preserve"> </v>
      </c>
      <c r="AM18" s="28" t="str">
        <f>IF(AND(L18&gt;0,[27]EvaluaciónRiesgoCorrupR2!$F$11&gt;50,[27]EvaluaciónRiesgoCorrupR2!$F$11&lt;76,F18=3,H18=5),$H$26,IF(AND(L18&gt;0,[27]EvaluaciónRiesgoCorrupR2!$F$11&gt;50,[27]EvaluaciónRiesgoCorrupR2!$F$11&lt;76,F18=3,H18=10),$J$26,IF(AND(L18&gt;0,[27]EvaluaciónRiesgoCorrupR2!$F$11&gt;50,[27]EvaluaciónRiesgoCorrupR2!$F$11&lt;76,F18=3,H18=20),$K$26," ")))</f>
        <v xml:space="preserve"> </v>
      </c>
      <c r="AN18" s="28" t="str">
        <f>IF(AND(L18&gt;0,[27]EvaluaciónRiesgoCorrupR2!$F$11&gt;50,[27]EvaluaciónRiesgoCorrupR2!$F$11&lt;76,F18=4,H18=5),$H$27,IF(AND(L18&gt;0,[27]EvaluaciónRiesgoCorrupR2!$F$11&gt;50,[27]EvaluaciónRiesgoCorrupR2!$F$11&lt;76,F18=4,H18=10),$J$27,IF(AND(L18&gt;0,[27]EvaluaciónRiesgoCorrupR2!$F$11&gt;50,[27]EvaluaciónRiesgoCorrupR2!$F$11&lt;76,F18=4,H18=20),$K$27," ")))</f>
        <v xml:space="preserve"> </v>
      </c>
      <c r="AO18" s="28" t="str">
        <f>IF(AND(L18&gt;0,[27]EvaluaciónRiesgoCorrupR2!$F$11&gt;50,[27]EvaluaciónRiesgoCorrupR2!$F$11&lt;76,F18=5,H18=5),$H$28,IF(AND(L18&gt;0,[27]EvaluaciónRiesgoCorrupR2!$F$11&gt;50,[27]EvaluaciónRiesgoCorrupR2!$F$11&lt;76,F18=5,H18=10),$J$28,IF(AND(L18&gt;0,[27]EvaluaciónRiesgoCorrupR2!$F$11&gt;50,[27]EvaluaciónRiesgoCorrupR2!$F$11&lt;76,F18=5,H18=20),$K$28," ")))</f>
        <v xml:space="preserve"> </v>
      </c>
      <c r="AR18" s="28" t="str">
        <f>IF(AND(L18&gt;0,[27]EvaluaciónRiesgoCorrupR2!$F$11&lt;51,F18=1,H18=5),$H$25,IF(AND(L18&gt;0,[27]EvaluaciónRiesgoCorrupR2!$F$11&lt;51,F18=1,H18=10),$J$25,IF(AND(L18&gt;0,[27]EvaluaciónRiesgoCorrupR2!$F$11&lt;51,F18=1,H18=20),K$25," ")))</f>
        <v xml:space="preserve"> </v>
      </c>
      <c r="AS18" s="28" t="str">
        <f>IF(AND(L18&gt;0,[27]EvaluaciónRiesgoCorrupR2!$F$11&lt;51,F18=2,H18=5),$H$26,IF(AND(L18&gt;0,[27]EvaluaciónRiesgoCorrupR2!$F$11&lt;51,F18=2,H18=10),$J$26,IF(AND(L18&gt;0,[27]EvaluaciónRiesgoCorrupR2!$F$11&lt;51,F18=2,H18=20),K$26," ")))</f>
        <v xml:space="preserve"> </v>
      </c>
      <c r="AT18" s="28" t="str">
        <f>IF(AND(L18&gt;0,[27]EvaluaciónRiesgoCorrupR2!$F$11&lt;51,F18=3,H18=5),$H$27,IF(AND(L18&gt;0,[27]EvaluaciónRiesgoCorrupR2!$F$11&lt;51,F18=3,H18=10),$J$27,IF(AND(L18&gt;0,[27]EvaluaciónRiesgoCorrupR2!$F$11&lt;51,F18=3,H18=20),K$27," ")))</f>
        <v xml:space="preserve"> </v>
      </c>
      <c r="AU18" s="28" t="str">
        <f>IF(AND(L18&gt;0,[27]EvaluaciónRiesgoCorrupR2!$F$11&lt;51,F18=4,H18=5),$H$28,IF(AND(L18&gt;0,[27]EvaluaciónRiesgoCorrupR2!$F$11&lt;51,F18=4,H18=10),$J$28,IF(AND(L18&gt;0,[27]EvaluaciónRiesgoCorrupR2!$F$11&lt;51,F18=4,H18=20),K$28," ")))</f>
        <v xml:space="preserve"> </v>
      </c>
      <c r="AV18" s="28" t="str">
        <f>IF(AND(L18&gt;0,[27]EvaluaciónRiesgoCorrupR2!$F$11&lt;51,F18=5,H18=5),$H$29,IF(AND(L18&gt;0,[27]EvaluaciónRiesgoCorrupR2!$F$11&lt;51,F18=5,H18=10),$J$29,IF(AND(L18&gt;0,[27]EvaluaciónRiesgoCorrupR2!$F$11&lt;51,F18=5,H18=20),K$29," ")))</f>
        <v xml:space="preserve"> </v>
      </c>
      <c r="AZ18" s="28" t="str">
        <f>IF(AND(M18&gt;0,[27]EvaluaciónRiesgoCorrupR2!$F$11&gt;75,F18=1,H18=5),$H$25,IF(AND(M18&gt;0,[27]EvaluaciónRiesgoCorrupR2!$F$11&gt;75,F18=1,H18=10),$H$25,IF(AND(M18&gt;0,[27]EvaluaciónRiesgoCorrupR2!$F$11&gt;75,F18=1,H18=20),$H$25," ")))</f>
        <v xml:space="preserve"> </v>
      </c>
      <c r="BA18" s="28" t="str">
        <f>IF(AND(M18&gt;0,[27]EvaluaciónRiesgoCorrupR2!$F$11&gt;75,F18=2,H18=5),$H$26,IF(AND(M18&gt;0,[27]EvaluaciónRiesgoCorrupR2!$F$11&gt;75,F18=2,H18=10),$H$26,IF(AND(M18&gt;0,[27]EvaluaciónRiesgoCorrupR2!$F$11&gt;75,F18=2,H18=20),$H$26," ")))</f>
        <v xml:space="preserve"> </v>
      </c>
      <c r="BB18" s="28" t="str">
        <f>IF(AND(M18&gt;0,[27]EvaluaciónRiesgoCorrupR2!$F$11&gt;75,F18=3,H18=5),$H$27,IF(AND(M18&gt;0,[27]EvaluaciónRiesgoCorrupR2!$F$11&gt;75,F18=3,H18=10),$H$27,IF(AND(M18&gt;0,[27]EvaluaciónRiesgoCorrupR2!$F$11&gt;75,F18=3,H18=20),$H$27," ")))</f>
        <v xml:space="preserve"> </v>
      </c>
      <c r="BC18" s="28" t="str">
        <f>IF(AND(M18&gt;0,[27]EvaluaciónRiesgoCorrupR2!$F$11&gt;75,F18=4,H18=5),$H$28,IF(AND(M18&gt;0,[27]EvaluaciónRiesgoCorrupR2!$F$11&gt;75,F18=4,H18=10),$H$28,IF(AND(M18&gt;0,[27]EvaluaciónRiesgoCorrupR2!$F$11&gt;75,F18=4,H18=20),$H$28," ")))</f>
        <v xml:space="preserve"> </v>
      </c>
      <c r="BD18" s="28" t="str">
        <f>IF(AND(M18&gt;0,[27]EvaluaciónRiesgoCorrupR2!$F$11&gt;75,F18=5,H18=5),$H$29,IF(AND(M18&gt;0,[27]EvaluaciónRiesgoCorrupR2!$F$11&gt;75,F18=5,H18=10),$H$29,IF(AND(M18&gt;0,[27]EvaluaciónRiesgoCorrupR2!$F$11&gt;75,F18=5,H18=20),$H$29," ")))</f>
        <v xml:space="preserve"> </v>
      </c>
      <c r="BG18" s="28" t="str">
        <f>IF(AND(M18&gt;0,[27]EvaluaciónRiesgoCorrupR2!$F$11&gt;50,[27]EvaluaciónRiesgoCorrupR2!$F$11&lt;76,F18=1,H18=5),$H$25,IF(AND(M18&gt;0,[27]EvaluaciónRiesgoCorrupR2!$F$11&gt;50,[27]EvaluaciónRiesgoCorrupR2!$F$11&lt;76,F18=1,H18=10),$H$25,IF(AND(M18&gt;0,[27]EvaluaciónRiesgoCorrupR2!$F$11&gt;50,[27]EvaluaciónRiesgoCorrupR2!$F$11&lt;76,F18=1,H18=20),$J$25," ")))</f>
        <v xml:space="preserve"> </v>
      </c>
      <c r="BH18" s="28" t="str">
        <f>IF(AND(M18&gt;0,[27]EvaluaciónRiesgoCorrupR2!$F$11&gt;50,[27]EvaluaciónRiesgoCorrupR2!$F$11&lt;76,F18=2,H18=5),$H$26,IF(AND(M18&gt;0,[27]EvaluaciónRiesgoCorrupR2!$F$11&gt;50,[27]EvaluaciónRiesgoCorrupR2!$F$11&lt;76,F18=2,H18=10),$H$26,IF(AND(M18&gt;0,[27]EvaluaciónRiesgoCorrupR2!$F$11&gt;50,[27]EvaluaciónRiesgoCorrupR2!$F$11&lt;76,F18=2,H18=20),$J$26," ")))</f>
        <v xml:space="preserve"> </v>
      </c>
      <c r="BI18" s="28" t="str">
        <f>IF(AND(M18&gt;0,[27]EvaluaciónRiesgoCorrupR2!$F$11&gt;50,[27]EvaluaciónRiesgoCorrupR2!$F$11&lt;76,F18=3,H18=5),$H$27,IF(AND(M18&gt;0,[27]EvaluaciónRiesgoCorrupR2!$F$11&gt;50,[27]EvaluaciónRiesgoCorrupR2!$F$11&lt;76,F18=3,H18=10),$H$27,IF(AND(M18&gt;0,[27]EvaluaciónRiesgoCorrupR2!$F$11&gt;50,[27]EvaluaciónRiesgoCorrupR2!$F$11&lt;76,F18=3,H18=20),$J$27," ")))</f>
        <v xml:space="preserve"> </v>
      </c>
      <c r="BJ18" s="28" t="str">
        <f>IF(AND(M18&gt;0,[27]EvaluaciónRiesgoCorrupR2!$F$11&gt;50,[27]EvaluaciónRiesgoCorrupR2!$F$11&lt;76,F18=4,H18=5),$H$28,IF(AND(M18&gt;0,[27]EvaluaciónRiesgoCorrupR2!$F$11&gt;50,[27]EvaluaciónRiesgoCorrupR2!$F$11&lt;76,F18=4,H18=10),$H$28,IF(AND(M18&gt;0,[27]EvaluaciónRiesgoCorrupR2!$F$11&gt;50,[27]EvaluaciónRiesgoCorrupR2!$F$11&lt;76,F18=4,H18=20),$J$28," ")))</f>
        <v xml:space="preserve"> </v>
      </c>
      <c r="BK18" s="28" t="str">
        <f>IF(AND(M18&gt;0,[27]EvaluaciónRiesgoCorrupR2!$F$11&gt;50,[27]EvaluaciónRiesgoCorrupR2!$F$11&lt;76,F18=5,H18=5),$H$29,IF(AND(M18&gt;0,[27]EvaluaciónRiesgoCorrupR2!$F$11&gt;50,[27]EvaluaciónRiesgoCorrupR2!$F$11&lt;76,F18=5,H18=10),$H$29,IF(AND(M18&gt;0,[27]EvaluaciónRiesgoCorrupR2!$F$11&gt;50,[27]EvaluaciónRiesgoCorrupR2!$F$11&lt;76,F18=5,H18=20),$J$29," ")))</f>
        <v xml:space="preserve"> </v>
      </c>
      <c r="BN18" s="28" t="str">
        <f>IF(AND(M18&gt;0,[27]EvaluaciónRiesgoCorrupR2!$F$11&lt;51,F18=1,H18=5),$H$25,IF(AND(M18&gt;0,[27]EvaluaciónRiesgoCorrupR2!$F$11&lt;51,F18=1,H18=10),$J$25,IF(AND(M18&gt;0,[27]EvaluaciónRiesgoCorrupR2!$F$11&lt;51,F18=1,H18=20),$K$25," ")))</f>
        <v xml:space="preserve"> </v>
      </c>
      <c r="BO18" s="28" t="str">
        <f>IF(AND(M18&gt;0,[27]EvaluaciónRiesgoCorrupR2!$F$11&lt;51,F18=2,H18=5),$H$26,IF(AND(M18&gt;0,[27]EvaluaciónRiesgoCorrupR2!$F$11&lt;51,F18=2,H18=10),$J$26,IF(AND(M18&gt;0,[27]EvaluaciónRiesgoCorrupR2!$F$11&lt;51,F18=2,H18=20),$K$26," ")))</f>
        <v xml:space="preserve"> </v>
      </c>
      <c r="BP18" s="28" t="str">
        <f>IF(AND(M18&gt;0,[27]EvaluaciónRiesgoCorrupR2!$F$11&lt;51,F18=3,H18=5),$H$27,IF(AND(M18&gt;0,[27]EvaluaciónRiesgoCorrupR2!$F$11&lt;51,F18=3,H18=10),$J$27,IF(AND(M18&gt;0,[27]EvaluaciónRiesgoCorrupR2!$F$11&lt;51,F18=3,H18=20),$K$27," ")))</f>
        <v xml:space="preserve"> </v>
      </c>
      <c r="BQ18" s="28" t="str">
        <f>IF(AND(M18&gt;0,[27]EvaluaciónRiesgoCorrupR2!$F$11&lt;51,F18=4,H18=5),$H$28,IF(AND(M18&gt;0,[27]EvaluaciónRiesgoCorrupR2!$F$11&lt;51,F18=4,H18=10),$J$28,IF(AND(M18&gt;0,[27]EvaluaciónRiesgoCorrupR2!$F$11&lt;51,F18=4,H18=20),$K$28," ")))</f>
        <v xml:space="preserve"> </v>
      </c>
      <c r="BR18" s="28" t="str">
        <f>IF(AND(M18&gt;0,[27]EvaluaciónRiesgoCorrupR2!$F$11&lt;51,F18=5,H18=5),$H$29,IF(AND(M18&gt;0,[27]EvaluaciónRiesgoCorrupR2!$F$11&lt;51,F18=5,H18=10),$J$29,IF(AND(M18&gt;0,[27]EvaluaciónRiesgoCorrupR2!$F$11&lt;51,F18=5,H18=20),$K$29," ")))</f>
        <v xml:space="preserve"> </v>
      </c>
    </row>
    <row r="19" spans="1:70" s="399" customFormat="1" ht="308.25" customHeight="1" x14ac:dyDescent="0.35">
      <c r="A19" s="971" t="s">
        <v>563</v>
      </c>
      <c r="B19" s="971" t="s">
        <v>564</v>
      </c>
      <c r="C19" s="971" t="s">
        <v>565</v>
      </c>
      <c r="D19" s="971" t="s">
        <v>566</v>
      </c>
      <c r="E19" s="972" t="s">
        <v>106</v>
      </c>
      <c r="F19" s="973">
        <v>3</v>
      </c>
      <c r="G19" s="973" t="s">
        <v>107</v>
      </c>
      <c r="H19" s="974">
        <v>4</v>
      </c>
      <c r="I19" s="974" t="s">
        <v>108</v>
      </c>
      <c r="J19" s="975" t="s">
        <v>53</v>
      </c>
      <c r="K19" s="982" t="s">
        <v>557</v>
      </c>
      <c r="L19" s="1106" t="s">
        <v>26</v>
      </c>
      <c r="M19" s="1106"/>
      <c r="N19" s="975" t="s">
        <v>51</v>
      </c>
      <c r="O19" s="976" t="s">
        <v>558</v>
      </c>
      <c r="P19" s="977" t="s">
        <v>282</v>
      </c>
      <c r="Q19" s="979" t="s">
        <v>567</v>
      </c>
      <c r="R19" s="977" t="s">
        <v>549</v>
      </c>
      <c r="S19" s="981">
        <v>42947</v>
      </c>
      <c r="T19" s="980" t="s">
        <v>568</v>
      </c>
      <c r="U19" s="977" t="s">
        <v>561</v>
      </c>
      <c r="V19" s="978" t="s">
        <v>569</v>
      </c>
      <c r="X19" s="6"/>
      <c r="Y19" s="6"/>
      <c r="Z19" s="6"/>
      <c r="AA19" s="6"/>
      <c r="AB19" s="6"/>
      <c r="AE19" s="6"/>
      <c r="AF19" s="6"/>
      <c r="AG19" s="6"/>
      <c r="AH19" s="6"/>
      <c r="AI19" s="6"/>
      <c r="AK19" s="6"/>
      <c r="AL19" s="6"/>
      <c r="AM19" s="6"/>
      <c r="AN19" s="6"/>
      <c r="AO19" s="6"/>
      <c r="AR19" s="6"/>
      <c r="AS19" s="6"/>
      <c r="AT19" s="6"/>
      <c r="AU19" s="6"/>
      <c r="AV19" s="6"/>
      <c r="AZ19" s="6"/>
      <c r="BA19" s="6"/>
      <c r="BB19" s="6"/>
      <c r="BC19" s="6"/>
      <c r="BD19" s="6"/>
      <c r="BG19" s="6"/>
      <c r="BH19" s="6"/>
      <c r="BI19" s="6"/>
      <c r="BJ19" s="6"/>
      <c r="BK19" s="6"/>
      <c r="BN19" s="6"/>
      <c r="BO19" s="6"/>
      <c r="BP19" s="6"/>
      <c r="BQ19" s="6"/>
      <c r="BR19" s="6"/>
    </row>
    <row r="20" spans="1:70" s="399" customFormat="1" ht="356.25" customHeight="1" x14ac:dyDescent="0.35">
      <c r="A20" s="990" t="s">
        <v>570</v>
      </c>
      <c r="B20" s="983" t="s">
        <v>571</v>
      </c>
      <c r="C20" s="983" t="s">
        <v>572</v>
      </c>
      <c r="D20" s="983" t="s">
        <v>573</v>
      </c>
      <c r="E20" s="983" t="s">
        <v>106</v>
      </c>
      <c r="F20" s="984">
        <v>1</v>
      </c>
      <c r="G20" s="984" t="s">
        <v>121</v>
      </c>
      <c r="H20" s="985">
        <v>3</v>
      </c>
      <c r="I20" s="985" t="s">
        <v>117</v>
      </c>
      <c r="J20" s="986" t="s">
        <v>49</v>
      </c>
      <c r="K20" s="991" t="s">
        <v>574</v>
      </c>
      <c r="L20" s="1106" t="s">
        <v>26</v>
      </c>
      <c r="M20" s="1106"/>
      <c r="N20" s="986" t="s">
        <v>49</v>
      </c>
      <c r="O20" s="987" t="s">
        <v>575</v>
      </c>
      <c r="P20" s="988" t="s">
        <v>576</v>
      </c>
      <c r="Q20" s="989" t="s">
        <v>577</v>
      </c>
      <c r="R20" s="988" t="s">
        <v>578</v>
      </c>
      <c r="S20" s="992">
        <v>42947</v>
      </c>
      <c r="T20" s="991" t="s">
        <v>579</v>
      </c>
      <c r="U20" s="988" t="s">
        <v>561</v>
      </c>
      <c r="V20" s="989" t="s">
        <v>580</v>
      </c>
      <c r="X20" s="6"/>
      <c r="Y20" s="6"/>
      <c r="Z20" s="6"/>
      <c r="AA20" s="6"/>
      <c r="AB20" s="6"/>
      <c r="AE20" s="6"/>
      <c r="AF20" s="6"/>
      <c r="AG20" s="6"/>
      <c r="AH20" s="6"/>
      <c r="AI20" s="6"/>
      <c r="AK20" s="6"/>
      <c r="AL20" s="6"/>
      <c r="AM20" s="6"/>
      <c r="AN20" s="6"/>
      <c r="AO20" s="6"/>
      <c r="AR20" s="6"/>
      <c r="AS20" s="6"/>
      <c r="AT20" s="6"/>
      <c r="AU20" s="6"/>
      <c r="AV20" s="6"/>
      <c r="AZ20" s="6"/>
      <c r="BA20" s="6"/>
      <c r="BB20" s="6"/>
      <c r="BC20" s="6"/>
      <c r="BD20" s="6"/>
      <c r="BG20" s="6"/>
      <c r="BH20" s="6"/>
      <c r="BI20" s="6"/>
      <c r="BJ20" s="6"/>
      <c r="BK20" s="6"/>
      <c r="BN20" s="6"/>
      <c r="BO20" s="6"/>
      <c r="BP20" s="6"/>
      <c r="BQ20" s="6"/>
      <c r="BR20" s="6"/>
    </row>
    <row r="21" spans="1:70" s="399" customFormat="1" ht="306" customHeight="1" x14ac:dyDescent="0.35">
      <c r="A21" s="999" t="s">
        <v>581</v>
      </c>
      <c r="B21" s="993" t="s">
        <v>582</v>
      </c>
      <c r="C21" s="993" t="s">
        <v>583</v>
      </c>
      <c r="D21" s="993" t="s">
        <v>584</v>
      </c>
      <c r="E21" s="993" t="s">
        <v>119</v>
      </c>
      <c r="F21" s="994">
        <v>3</v>
      </c>
      <c r="G21" s="994" t="s">
        <v>107</v>
      </c>
      <c r="H21" s="995">
        <v>10</v>
      </c>
      <c r="I21" s="995" t="s">
        <v>108</v>
      </c>
      <c r="J21" s="996" t="s">
        <v>51</v>
      </c>
      <c r="K21" s="998" t="s">
        <v>585</v>
      </c>
      <c r="L21" s="1106" t="s">
        <v>26</v>
      </c>
      <c r="M21" s="1106"/>
      <c r="N21" s="996" t="s">
        <v>49</v>
      </c>
      <c r="O21" s="997" t="s">
        <v>558</v>
      </c>
      <c r="P21" s="998" t="s">
        <v>576</v>
      </c>
      <c r="Q21" s="998" t="s">
        <v>586</v>
      </c>
      <c r="R21" s="998" t="s">
        <v>587</v>
      </c>
      <c r="S21" s="1000">
        <v>42947</v>
      </c>
      <c r="T21" s="998" t="s">
        <v>588</v>
      </c>
      <c r="U21" s="998" t="s">
        <v>561</v>
      </c>
      <c r="V21" s="998" t="s">
        <v>589</v>
      </c>
      <c r="X21" s="6"/>
      <c r="Y21" s="6"/>
      <c r="Z21" s="6"/>
      <c r="AA21" s="6"/>
      <c r="AB21" s="6"/>
      <c r="AE21" s="6"/>
      <c r="AF21" s="6"/>
      <c r="AG21" s="6"/>
      <c r="AH21" s="6"/>
      <c r="AI21" s="6"/>
      <c r="AK21" s="6"/>
      <c r="AL21" s="6"/>
      <c r="AM21" s="6"/>
      <c r="AN21" s="6"/>
      <c r="AO21" s="6"/>
      <c r="AR21" s="6"/>
      <c r="AS21" s="6"/>
      <c r="AT21" s="6"/>
      <c r="AU21" s="6"/>
      <c r="AV21" s="6"/>
      <c r="AZ21" s="6"/>
      <c r="BA21" s="6"/>
      <c r="BB21" s="6"/>
      <c r="BC21" s="6"/>
      <c r="BD21" s="6"/>
      <c r="BG21" s="6"/>
      <c r="BH21" s="6"/>
      <c r="BI21" s="6"/>
      <c r="BJ21" s="6"/>
      <c r="BK21" s="6"/>
      <c r="BN21" s="6"/>
      <c r="BO21" s="6"/>
      <c r="BP21" s="6"/>
      <c r="BQ21" s="6"/>
      <c r="BR21" s="6"/>
    </row>
    <row r="22" spans="1:70" ht="228.75" customHeight="1" x14ac:dyDescent="0.35">
      <c r="A22" s="1009" t="s">
        <v>590</v>
      </c>
      <c r="B22" s="1001" t="s">
        <v>591</v>
      </c>
      <c r="C22" s="1001" t="s">
        <v>592</v>
      </c>
      <c r="D22" s="1001" t="s">
        <v>593</v>
      </c>
      <c r="E22" s="1001" t="s">
        <v>119</v>
      </c>
      <c r="F22" s="1002">
        <v>2</v>
      </c>
      <c r="G22" s="1002" t="s">
        <v>152</v>
      </c>
      <c r="H22" s="1003">
        <v>10</v>
      </c>
      <c r="I22" s="1003" t="s">
        <v>108</v>
      </c>
      <c r="J22" s="1004" t="s">
        <v>49</v>
      </c>
      <c r="K22" s="1010" t="s">
        <v>594</v>
      </c>
      <c r="L22" s="1106" t="s">
        <v>26</v>
      </c>
      <c r="M22" s="1106"/>
      <c r="N22" s="1004" t="s">
        <v>49</v>
      </c>
      <c r="O22" s="1006" t="s">
        <v>558</v>
      </c>
      <c r="P22" s="1005" t="s">
        <v>576</v>
      </c>
      <c r="Q22" s="1007" t="s">
        <v>595</v>
      </c>
      <c r="R22" s="1005" t="s">
        <v>596</v>
      </c>
      <c r="S22" s="1011">
        <v>42947</v>
      </c>
      <c r="T22" s="1007" t="s">
        <v>597</v>
      </c>
      <c r="U22" s="1007" t="s">
        <v>561</v>
      </c>
      <c r="V22" s="1007" t="s">
        <v>598</v>
      </c>
    </row>
    <row r="23" spans="1:70" ht="14.5" thickBot="1" x14ac:dyDescent="0.4">
      <c r="A23" s="6"/>
      <c r="B23" s="33"/>
      <c r="C23" s="423"/>
      <c r="D23" s="33"/>
      <c r="E23" s="423"/>
      <c r="F23" s="1082" t="s">
        <v>26</v>
      </c>
      <c r="G23" s="84"/>
      <c r="H23" s="1083" t="s">
        <v>10</v>
      </c>
      <c r="I23" s="1083"/>
      <c r="J23" s="1083"/>
      <c r="K23" s="1084"/>
      <c r="L23" s="2"/>
      <c r="Q23" s="5"/>
      <c r="S23" s="2"/>
    </row>
    <row r="24" spans="1:70" ht="32.25" customHeight="1" thickBot="1" x14ac:dyDescent="0.4">
      <c r="A24" s="5"/>
      <c r="B24" s="34" t="s">
        <v>42</v>
      </c>
      <c r="C24" s="411"/>
      <c r="D24" s="34"/>
      <c r="E24" s="411"/>
      <c r="F24" s="1020"/>
      <c r="G24" s="939"/>
      <c r="H24" s="35" t="s">
        <v>43</v>
      </c>
      <c r="I24" s="412"/>
      <c r="J24" s="36" t="s">
        <v>44</v>
      </c>
      <c r="K24" s="35" t="s">
        <v>45</v>
      </c>
      <c r="L24" s="2"/>
      <c r="Q24" s="5"/>
      <c r="S24" s="2"/>
    </row>
    <row r="25" spans="1:70" ht="14.5" thickBot="1" x14ac:dyDescent="0.4">
      <c r="B25" s="5" t="s">
        <v>46</v>
      </c>
      <c r="C25" s="402"/>
      <c r="F25" s="37" t="s">
        <v>47</v>
      </c>
      <c r="G25" s="413"/>
      <c r="H25" s="38" t="s">
        <v>48</v>
      </c>
      <c r="I25" s="414"/>
      <c r="J25" s="38" t="s">
        <v>48</v>
      </c>
      <c r="K25" s="39" t="s">
        <v>49</v>
      </c>
      <c r="L25" s="2"/>
      <c r="Q25" s="5"/>
      <c r="S25" s="2"/>
    </row>
    <row r="26" spans="1:70" ht="14.5" thickBot="1" x14ac:dyDescent="0.4">
      <c r="F26" s="37" t="s">
        <v>50</v>
      </c>
      <c r="G26" s="413"/>
      <c r="H26" s="38" t="s">
        <v>48</v>
      </c>
      <c r="I26" s="414"/>
      <c r="J26" s="39" t="s">
        <v>49</v>
      </c>
      <c r="K26" s="40" t="s">
        <v>51</v>
      </c>
      <c r="L26" s="2"/>
      <c r="Q26" s="5"/>
      <c r="S26" s="2"/>
    </row>
    <row r="27" spans="1:70" ht="14.5" thickBot="1" x14ac:dyDescent="0.4">
      <c r="F27" s="37" t="s">
        <v>52</v>
      </c>
      <c r="G27" s="413"/>
      <c r="H27" s="39" t="s">
        <v>49</v>
      </c>
      <c r="I27" s="415"/>
      <c r="J27" s="40" t="s">
        <v>51</v>
      </c>
      <c r="K27" s="41" t="s">
        <v>53</v>
      </c>
      <c r="L27" s="2"/>
      <c r="Q27" s="5"/>
      <c r="S27" s="2"/>
    </row>
    <row r="28" spans="1:70" ht="14.5" thickBot="1" x14ac:dyDescent="0.4">
      <c r="F28" s="37" t="s">
        <v>54</v>
      </c>
      <c r="G28" s="413"/>
      <c r="H28" s="39" t="s">
        <v>49</v>
      </c>
      <c r="I28" s="415"/>
      <c r="J28" s="40" t="s">
        <v>51</v>
      </c>
      <c r="K28" s="41" t="s">
        <v>53</v>
      </c>
      <c r="L28" s="2"/>
      <c r="Q28" s="5"/>
      <c r="S28" s="2"/>
    </row>
    <row r="29" spans="1:70" ht="14.5" thickBot="1" x14ac:dyDescent="0.4">
      <c r="F29" s="37" t="s">
        <v>55</v>
      </c>
      <c r="G29" s="413"/>
      <c r="H29" s="39" t="s">
        <v>49</v>
      </c>
      <c r="I29" s="415"/>
      <c r="J29" s="40" t="s">
        <v>51</v>
      </c>
      <c r="K29" s="41" t="s">
        <v>53</v>
      </c>
      <c r="L29" s="2"/>
      <c r="Q29" s="5"/>
      <c r="S29" s="2"/>
    </row>
    <row r="30" spans="1:70" x14ac:dyDescent="0.35">
      <c r="F30" s="2"/>
      <c r="G30" s="399"/>
      <c r="H30" s="2"/>
      <c r="I30" s="399"/>
      <c r="J30" s="2"/>
      <c r="K30" s="5"/>
      <c r="M30" s="5"/>
    </row>
    <row r="31" spans="1:70" x14ac:dyDescent="0.35">
      <c r="F31" s="42" t="s">
        <v>56</v>
      </c>
      <c r="G31" s="416"/>
      <c r="H31" s="2"/>
      <c r="I31" s="399"/>
      <c r="J31" s="2"/>
      <c r="K31" s="5"/>
      <c r="M31" s="5"/>
      <c r="N31" s="5"/>
      <c r="O31" s="402"/>
      <c r="P31" s="5"/>
    </row>
    <row r="32" spans="1:70" x14ac:dyDescent="0.35">
      <c r="F32" s="43" t="s">
        <v>57</v>
      </c>
      <c r="G32" s="417"/>
      <c r="H32" s="2"/>
      <c r="I32" s="399"/>
      <c r="J32" s="2"/>
      <c r="K32" s="5"/>
      <c r="M32" s="5"/>
      <c r="N32" s="5"/>
      <c r="O32" s="402"/>
      <c r="P32" s="5"/>
    </row>
    <row r="33" spans="6:22" x14ac:dyDescent="0.35">
      <c r="F33" s="44" t="s">
        <v>58</v>
      </c>
      <c r="G33" s="418"/>
      <c r="H33" s="2"/>
      <c r="I33" s="399"/>
      <c r="J33" s="2"/>
      <c r="K33" s="5"/>
      <c r="M33" s="5"/>
      <c r="N33" s="5"/>
      <c r="O33" s="402"/>
      <c r="P33" s="5"/>
    </row>
    <row r="34" spans="6:22" x14ac:dyDescent="0.35">
      <c r="F34" s="45" t="s">
        <v>59</v>
      </c>
      <c r="G34" s="419"/>
      <c r="H34" s="2"/>
      <c r="I34" s="399"/>
      <c r="J34" s="2"/>
      <c r="K34" s="5"/>
      <c r="M34" s="5"/>
      <c r="N34" s="5"/>
      <c r="O34" s="402"/>
      <c r="P34" s="5"/>
    </row>
    <row r="42" spans="6:22" ht="60" x14ac:dyDescent="0.35">
      <c r="F42" s="49"/>
      <c r="G42" s="49"/>
      <c r="H42" s="49"/>
      <c r="I42" s="49"/>
      <c r="J42" s="49"/>
      <c r="K42" s="49"/>
      <c r="L42" s="49"/>
      <c r="M42" s="49"/>
      <c r="N42" s="49"/>
      <c r="O42" s="49"/>
      <c r="P42" s="49"/>
      <c r="Q42" s="49"/>
      <c r="R42" s="49"/>
      <c r="S42" s="49"/>
      <c r="T42" s="49"/>
      <c r="U42" s="49"/>
      <c r="V42" s="49"/>
    </row>
  </sheetData>
  <mergeCells count="40">
    <mergeCell ref="A1:D4"/>
    <mergeCell ref="F1:T4"/>
    <mergeCell ref="U1:V1"/>
    <mergeCell ref="U2:V2"/>
    <mergeCell ref="U3:V3"/>
    <mergeCell ref="U4:V4"/>
    <mergeCell ref="A6:D6"/>
    <mergeCell ref="F6:V6"/>
    <mergeCell ref="A8:D8"/>
    <mergeCell ref="F8:V8"/>
    <mergeCell ref="A10:D10"/>
    <mergeCell ref="F10:V10"/>
    <mergeCell ref="A12:D12"/>
    <mergeCell ref="AG13:AY13"/>
    <mergeCell ref="BA13:BT13"/>
    <mergeCell ref="A14:D14"/>
    <mergeCell ref="F14:H14"/>
    <mergeCell ref="K14:K16"/>
    <mergeCell ref="L14:N14"/>
    <mergeCell ref="P14:R14"/>
    <mergeCell ref="S14:V14"/>
    <mergeCell ref="A15:A16"/>
    <mergeCell ref="B15:B16"/>
    <mergeCell ref="D15:D16"/>
    <mergeCell ref="F15:H15"/>
    <mergeCell ref="L15:N15"/>
    <mergeCell ref="S15:S16"/>
    <mergeCell ref="F12:V12"/>
    <mergeCell ref="T15:T16"/>
    <mergeCell ref="U15:U16"/>
    <mergeCell ref="V15:V16"/>
    <mergeCell ref="F23:F24"/>
    <mergeCell ref="H23:K23"/>
    <mergeCell ref="P15:R15"/>
    <mergeCell ref="L21:M21"/>
    <mergeCell ref="L22:M22"/>
    <mergeCell ref="L17:M17"/>
    <mergeCell ref="L18:M18"/>
    <mergeCell ref="L19:M19"/>
    <mergeCell ref="L20:M20"/>
  </mergeCells>
  <conditionalFormatting sqref="J17:J21 N17:O21">
    <cfRule type="containsText" dxfId="3" priority="1" operator="containsText" text="E">
      <formula>NOT(ISERROR(SEARCH("E",J17)))</formula>
    </cfRule>
    <cfRule type="containsText" dxfId="2" priority="2" operator="containsText" text="M">
      <formula>NOT(ISERROR(SEARCH("M",J17)))</formula>
    </cfRule>
    <cfRule type="containsText" dxfId="1" priority="3" operator="containsText" text="A">
      <formula>NOT(ISERROR(SEARCH("A",J17)))</formula>
    </cfRule>
    <cfRule type="containsText" dxfId="0" priority="4" operator="containsText" text="B">
      <formula>NOT(ISERROR(SEARCH("B",J17)))</formula>
    </cfRule>
  </conditionalFormatting>
  <pageMargins left="0.7" right="0.7" top="0.75" bottom="0.75" header="0.3" footer="0.3"/>
  <pageSetup paperSize="130" scale="1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4"/>
  <sheetViews>
    <sheetView showGridLines="0" view="pageBreakPreview" topLeftCell="N10" zoomScale="120" zoomScaleNormal="70" zoomScaleSheetLayoutView="120" workbookViewId="0">
      <selection activeCell="S18" sqref="S18"/>
    </sheetView>
  </sheetViews>
  <sheetFormatPr baseColWidth="10" defaultColWidth="11.453125" defaultRowHeight="14" x14ac:dyDescent="0.35"/>
  <cols>
    <col min="1" max="1" width="41.26953125" style="2" customWidth="1"/>
    <col min="2" max="2" width="41.1796875" style="2" customWidth="1"/>
    <col min="3" max="3" width="40.453125" style="399" customWidth="1"/>
    <col min="4" max="4" width="40.453125" style="2" customWidth="1"/>
    <col min="5" max="5" width="40.453125" style="399" customWidth="1"/>
    <col min="6" max="6" width="27" style="5" customWidth="1"/>
    <col min="7" max="7" width="27" style="402" customWidth="1"/>
    <col min="8" max="8" width="19" style="5" customWidth="1"/>
    <col min="9" max="9" width="19" style="402" customWidth="1"/>
    <col min="10" max="10" width="26.7265625" style="5" customWidth="1"/>
    <col min="11" max="11" width="29.7265625" style="2" customWidth="1"/>
    <col min="12" max="12" width="17.7265625" style="5" customWidth="1"/>
    <col min="13" max="13" width="18.54296875" style="2" customWidth="1"/>
    <col min="14" max="14" width="21.7265625" style="2" customWidth="1"/>
    <col min="15" max="15" width="21.7265625" style="399" customWidth="1"/>
    <col min="16" max="17" width="19.81640625" style="2" customWidth="1"/>
    <col min="18" max="18" width="17" style="2" customWidth="1"/>
    <col min="19" max="19" width="36.453125" style="5" customWidth="1"/>
    <col min="20" max="20" width="26.54296875" style="2" customWidth="1"/>
    <col min="21" max="23" width="30.453125" style="2" customWidth="1"/>
    <col min="24" max="24" width="36" style="2" hidden="1" customWidth="1"/>
    <col min="25" max="25" width="0" style="2" hidden="1" customWidth="1"/>
    <col min="26" max="72" width="11.453125" style="2" hidden="1" customWidth="1"/>
    <col min="73" max="73" width="11.453125" style="2" customWidth="1"/>
    <col min="74" max="16384" width="11.453125" style="2"/>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60" t="s">
        <v>372</v>
      </c>
      <c r="V2" s="1061"/>
      <c r="W2" s="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60" t="s">
        <v>373</v>
      </c>
      <c r="V3" s="1061"/>
      <c r="W3" s="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3"/>
      <c r="C5" s="400"/>
      <c r="D5" s="3"/>
      <c r="E5" s="400"/>
      <c r="F5" s="4"/>
      <c r="G5" s="401"/>
      <c r="H5" s="4"/>
      <c r="I5" s="401"/>
      <c r="J5" s="4"/>
      <c r="K5" s="4"/>
      <c r="L5" s="4"/>
      <c r="M5" s="4"/>
      <c r="N5" s="4"/>
      <c r="O5" s="401"/>
      <c r="P5" s="4"/>
      <c r="Q5" s="4"/>
      <c r="W5" s="6"/>
      <c r="X5" s="6"/>
    </row>
    <row r="6" spans="1:72" x14ac:dyDescent="0.35">
      <c r="A6" s="1030" t="s">
        <v>3</v>
      </c>
      <c r="B6" s="1030"/>
      <c r="C6" s="1030"/>
      <c r="D6" s="1030"/>
      <c r="E6" s="82"/>
      <c r="F6" s="1044" t="str">
        <f>[2]IdentRiesgo!B2</f>
        <v>Gestión de la Planeación</v>
      </c>
      <c r="G6" s="1045"/>
      <c r="H6" s="1045"/>
      <c r="I6" s="1045"/>
      <c r="J6" s="1045"/>
      <c r="K6" s="1045"/>
      <c r="L6" s="1045"/>
      <c r="M6" s="1045"/>
      <c r="N6" s="1045"/>
      <c r="O6" s="1045"/>
      <c r="P6" s="1045"/>
      <c r="Q6" s="1045"/>
      <c r="R6" s="1045"/>
      <c r="S6" s="1045"/>
      <c r="T6" s="1045"/>
      <c r="U6" s="1045"/>
      <c r="V6" s="1046"/>
      <c r="W6" s="6"/>
      <c r="X6" s="6"/>
    </row>
    <row r="7" spans="1:72" ht="6.75" customHeight="1" x14ac:dyDescent="0.35">
      <c r="B7" s="3"/>
      <c r="C7" s="400"/>
      <c r="D7" s="3"/>
      <c r="E7" s="400"/>
      <c r="F7" s="7"/>
      <c r="G7" s="405"/>
      <c r="H7" s="7"/>
      <c r="I7" s="405"/>
      <c r="J7" s="7"/>
      <c r="K7" s="7"/>
      <c r="L7" s="7"/>
      <c r="M7" s="7"/>
      <c r="N7" s="7"/>
      <c r="O7" s="405"/>
      <c r="P7" s="7"/>
      <c r="Q7" s="7"/>
      <c r="R7" s="8"/>
      <c r="S7" s="8"/>
      <c r="T7" s="8"/>
      <c r="U7" s="8"/>
      <c r="V7" s="8"/>
      <c r="W7" s="6"/>
      <c r="X7" s="6"/>
    </row>
    <row r="8" spans="1:72" ht="39.75" customHeight="1" x14ac:dyDescent="0.35">
      <c r="A8" s="1030" t="s">
        <v>4</v>
      </c>
      <c r="B8" s="1030"/>
      <c r="C8" s="1030"/>
      <c r="D8" s="1030"/>
      <c r="E8" s="82"/>
      <c r="F8" s="1047" t="str">
        <f>[2]IdentRiesgo!B3</f>
        <v xml:space="preserve">Coordinar la formulación y hacer el seguimiento de los instrumentos de planeación necesarios para contribuir al cumplimiento de la misión institucional en el marco de las políticas vigentes. </v>
      </c>
      <c r="G8" s="1048"/>
      <c r="H8" s="1048"/>
      <c r="I8" s="1048"/>
      <c r="J8" s="1048"/>
      <c r="K8" s="1048"/>
      <c r="L8" s="1048"/>
      <c r="M8" s="1048"/>
      <c r="N8" s="1048"/>
      <c r="O8" s="1048"/>
      <c r="P8" s="1048"/>
      <c r="Q8" s="1048"/>
      <c r="R8" s="1048"/>
      <c r="S8" s="1048"/>
      <c r="T8" s="1048"/>
      <c r="U8" s="1048"/>
      <c r="V8" s="1049"/>
      <c r="W8" s="9"/>
      <c r="X8" s="9"/>
    </row>
    <row r="9" spans="1:72" ht="6.75" customHeight="1" x14ac:dyDescent="0.35">
      <c r="B9" s="10"/>
      <c r="C9" s="403"/>
      <c r="D9" s="10"/>
      <c r="E9" s="403"/>
      <c r="F9" s="11"/>
      <c r="G9" s="406"/>
      <c r="H9" s="11"/>
      <c r="I9" s="406"/>
      <c r="J9" s="11"/>
      <c r="K9" s="11"/>
      <c r="L9" s="11"/>
      <c r="M9" s="11"/>
      <c r="N9" s="11"/>
      <c r="O9" s="406"/>
      <c r="P9" s="11"/>
      <c r="Q9" s="11"/>
      <c r="R9" s="8"/>
      <c r="S9" s="8"/>
      <c r="T9" s="8"/>
      <c r="U9" s="8"/>
      <c r="V9" s="8"/>
      <c r="W9" s="6"/>
      <c r="X9" s="6"/>
    </row>
    <row r="10" spans="1:72" x14ac:dyDescent="0.35">
      <c r="A10" s="1030" t="s">
        <v>5</v>
      </c>
      <c r="B10" s="1030"/>
      <c r="C10" s="1030"/>
      <c r="D10" s="1030"/>
      <c r="E10" s="82"/>
      <c r="F10" s="1031" t="s">
        <v>84</v>
      </c>
      <c r="G10" s="1032"/>
      <c r="H10" s="1032"/>
      <c r="I10" s="1032"/>
      <c r="J10" s="1032"/>
      <c r="K10" s="1032"/>
      <c r="L10" s="1032"/>
      <c r="M10" s="1032"/>
      <c r="N10" s="1032"/>
      <c r="O10" s="1032"/>
      <c r="P10" s="1032"/>
      <c r="Q10" s="1032"/>
      <c r="R10" s="1032"/>
      <c r="S10" s="1032"/>
      <c r="T10" s="1032"/>
      <c r="U10" s="1032"/>
      <c r="V10" s="1033"/>
      <c r="W10" s="12"/>
      <c r="X10" s="12"/>
    </row>
    <row r="11" spans="1:72" ht="5.25" customHeight="1" x14ac:dyDescent="0.35">
      <c r="B11" s="3"/>
      <c r="C11" s="400"/>
      <c r="D11" s="3"/>
      <c r="E11" s="400"/>
      <c r="F11" s="13"/>
      <c r="G11" s="425"/>
      <c r="H11" s="13"/>
      <c r="I11" s="425"/>
      <c r="J11" s="13"/>
      <c r="K11" s="13"/>
      <c r="L11" s="13"/>
      <c r="M11" s="13"/>
      <c r="N11" s="13"/>
      <c r="O11" s="425"/>
      <c r="P11" s="13"/>
      <c r="Q11" s="13"/>
      <c r="R11" s="8"/>
      <c r="S11" s="8"/>
      <c r="T11" s="8"/>
      <c r="U11" s="8"/>
      <c r="V11" s="8"/>
      <c r="W11" s="6"/>
      <c r="X11" s="6"/>
    </row>
    <row r="12" spans="1:72" ht="15.5" x14ac:dyDescent="0.35">
      <c r="A12" s="1030" t="s">
        <v>6</v>
      </c>
      <c r="B12" s="1030"/>
      <c r="C12" s="1030"/>
      <c r="D12" s="1030"/>
      <c r="E12" s="82"/>
      <c r="F12" s="1062">
        <f ca="1">NOW()</f>
        <v>43000.497892013889</v>
      </c>
      <c r="G12" s="1063"/>
      <c r="H12" s="1063"/>
      <c r="I12" s="1063"/>
      <c r="J12" s="1063"/>
      <c r="K12" s="1063"/>
      <c r="L12" s="1063"/>
      <c r="M12" s="1063"/>
      <c r="N12" s="1063"/>
      <c r="O12" s="1063"/>
      <c r="P12" s="1063"/>
      <c r="Q12" s="1063"/>
      <c r="R12" s="1063"/>
      <c r="S12" s="1063"/>
      <c r="T12" s="1063"/>
      <c r="U12" s="1063"/>
      <c r="V12" s="1064"/>
      <c r="W12" s="12"/>
      <c r="X12" s="12"/>
      <c r="AA12" s="2" t="s">
        <v>7</v>
      </c>
    </row>
    <row r="13" spans="1:72" ht="14.5" thickBot="1" x14ac:dyDescent="0.4">
      <c r="B13" s="3"/>
      <c r="C13" s="400"/>
      <c r="D13" s="3"/>
      <c r="E13" s="400"/>
      <c r="F13" s="14"/>
      <c r="G13" s="407"/>
      <c r="H13" s="15"/>
      <c r="I13" s="404"/>
      <c r="J13" s="15"/>
      <c r="K13" s="7"/>
      <c r="L13" s="15"/>
      <c r="M13" s="7"/>
      <c r="N13" s="7"/>
      <c r="O13" s="405"/>
      <c r="P13" s="7"/>
      <c r="Q13" s="7"/>
      <c r="R13" s="7"/>
      <c r="S13" s="15"/>
      <c r="T13" s="7"/>
      <c r="W13" s="6"/>
      <c r="X13" s="6"/>
      <c r="AA13" s="2"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420"/>
      <c r="J14" s="16"/>
      <c r="K14" s="1039" t="s">
        <v>13</v>
      </c>
      <c r="L14" s="1035" t="s">
        <v>14</v>
      </c>
      <c r="M14" s="1036"/>
      <c r="N14" s="1037"/>
      <c r="O14" s="550"/>
      <c r="P14" s="1042" t="s">
        <v>15</v>
      </c>
      <c r="Q14" s="1042"/>
      <c r="R14" s="1042"/>
      <c r="S14" s="1042" t="s">
        <v>16</v>
      </c>
      <c r="T14" s="1042"/>
      <c r="U14" s="1042"/>
      <c r="V14" s="1042"/>
    </row>
    <row r="15" spans="1:72" s="17" customFormat="1" ht="14.25" customHeight="1" x14ac:dyDescent="0.35">
      <c r="A15" s="1040" t="s">
        <v>17</v>
      </c>
      <c r="B15" s="1040" t="s">
        <v>18</v>
      </c>
      <c r="C15" s="551"/>
      <c r="D15" s="1040" t="s">
        <v>19</v>
      </c>
      <c r="E15" s="551"/>
      <c r="F15" s="1018" t="s">
        <v>20</v>
      </c>
      <c r="G15" s="1018"/>
      <c r="H15" s="1018"/>
      <c r="I15" s="553"/>
      <c r="J15" s="53"/>
      <c r="K15" s="1040"/>
      <c r="L15" s="1023" t="s">
        <v>21</v>
      </c>
      <c r="M15" s="1024"/>
      <c r="N15" s="1025"/>
      <c r="O15" s="554"/>
      <c r="P15" s="1023" t="s">
        <v>22</v>
      </c>
      <c r="Q15" s="1024"/>
      <c r="R15" s="1025"/>
      <c r="S15" s="1018" t="s">
        <v>23</v>
      </c>
      <c r="T15" s="1018" t="s">
        <v>24</v>
      </c>
      <c r="U15" s="1018" t="s">
        <v>5</v>
      </c>
      <c r="V15" s="1018" t="s">
        <v>25</v>
      </c>
    </row>
    <row r="16" spans="1:72" s="17" customFormat="1" ht="63" customHeight="1" thickBot="1" x14ac:dyDescent="0.4">
      <c r="A16" s="1043"/>
      <c r="B16" s="1043"/>
      <c r="C16" s="552" t="s">
        <v>96</v>
      </c>
      <c r="D16" s="1043"/>
      <c r="E16" s="552" t="s">
        <v>97</v>
      </c>
      <c r="F16" s="53" t="s">
        <v>26</v>
      </c>
      <c r="G16" s="553" t="s">
        <v>96</v>
      </c>
      <c r="H16" s="53" t="s">
        <v>10</v>
      </c>
      <c r="I16" s="553" t="s">
        <v>96</v>
      </c>
      <c r="J16" s="53" t="s">
        <v>27</v>
      </c>
      <c r="K16" s="1041"/>
      <c r="L16" s="19" t="s">
        <v>26</v>
      </c>
      <c r="M16" s="19" t="s">
        <v>10</v>
      </c>
      <c r="N16" s="54" t="s">
        <v>27</v>
      </c>
      <c r="O16" s="552" t="s">
        <v>100</v>
      </c>
      <c r="P16" s="53" t="s">
        <v>28</v>
      </c>
      <c r="Q16" s="53" t="s">
        <v>24</v>
      </c>
      <c r="R16" s="53" t="s">
        <v>29</v>
      </c>
      <c r="S16" s="1018"/>
      <c r="T16" s="1018"/>
      <c r="U16" s="1018"/>
      <c r="V16" s="1018"/>
    </row>
    <row r="17" spans="1:70" ht="153.75" customHeight="1" x14ac:dyDescent="0.35">
      <c r="A17" s="563" t="s">
        <v>354</v>
      </c>
      <c r="B17" s="568" t="s">
        <v>355</v>
      </c>
      <c r="C17" s="563" t="s">
        <v>356</v>
      </c>
      <c r="D17" s="563" t="s">
        <v>357</v>
      </c>
      <c r="E17" s="557" t="s">
        <v>106</v>
      </c>
      <c r="F17" s="558">
        <v>1</v>
      </c>
      <c r="G17" s="558" t="s">
        <v>121</v>
      </c>
      <c r="H17" s="559">
        <v>3</v>
      </c>
      <c r="I17" s="559" t="s">
        <v>117</v>
      </c>
      <c r="J17" s="560" t="s">
        <v>49</v>
      </c>
      <c r="K17" s="567" t="s">
        <v>358</v>
      </c>
      <c r="L17" s="1065" t="s">
        <v>10</v>
      </c>
      <c r="M17" s="1066"/>
      <c r="N17" s="560" t="s">
        <v>48</v>
      </c>
      <c r="O17" s="561" t="s">
        <v>154</v>
      </c>
      <c r="P17" s="562" t="s">
        <v>83</v>
      </c>
      <c r="Q17" s="566" t="s">
        <v>359</v>
      </c>
      <c r="R17" s="562" t="s">
        <v>360</v>
      </c>
      <c r="S17" s="857">
        <v>42947</v>
      </c>
      <c r="T17" s="565" t="s">
        <v>361</v>
      </c>
      <c r="U17" s="564" t="s">
        <v>362</v>
      </c>
      <c r="V17" s="556" t="s">
        <v>363</v>
      </c>
      <c r="X17" s="28" t="str">
        <f>IF(AND(F17=1,H17=5),$H$25,IF(AND(F17=1,H17=10),$J$25,IF(AND(F17=1,H17=20),$K$25," ")))</f>
        <v xml:space="preserve"> </v>
      </c>
      <c r="Y17" s="28" t="str">
        <f>IF(AND(F17=2,H17=5),$H$26,IF(AND(F17=2,H17=10),$J$26,IF(AND(F17=2,H17=20),$K$26," ")))</f>
        <v xml:space="preserve"> </v>
      </c>
      <c r="Z17" s="28" t="str">
        <f>IF(AND(F17=3,H17=5),$H$27,IF(AND(F17=3,H17=10),$J$27,IF(AND(F17=3,H17=20),$K$27," ")))</f>
        <v xml:space="preserve"> </v>
      </c>
      <c r="AA17" s="28" t="str">
        <f>IF(AND(F17=4,H17=5),$H$28,IF(AND(F17=4,H17=10),$J$28,IF(AND(F17=4,H17=20),$K$28," ")))</f>
        <v xml:space="preserve"> </v>
      </c>
      <c r="AB17" s="28" t="str">
        <f>IF(AND(F17=5,H17=5),$H$29,IF(AND(F17=5,H17=10),$J$29,IF(AND(F17=5,H17=20),$K$29," ")))</f>
        <v xml:space="preserve"> </v>
      </c>
      <c r="AD17" s="29" t="s">
        <v>31</v>
      </c>
      <c r="AE17" s="28" t="str">
        <f>IF(AND(L17&gt;0,[2]EvaluaciónRiesgoCorrup!$F$11&gt;75,F17=1,H17=5),$H$25,IF(AND(L17&gt;0,[2]EvaluaciónRiesgoCorrup!$F$11&gt;75,F17=1,H17=10),$J$25,IF(AND(L17&gt;0,[2]EvaluaciónRiesgoCorrup!$F$11&gt;75,F17=1,H17=20),$K$25," ")))</f>
        <v xml:space="preserve"> </v>
      </c>
      <c r="AF17" s="28" t="str">
        <f>IF(AND(L17&gt;0,[2]EvaluaciónRiesgoCorrup!$F$11&gt;75,F17=2,H17=5),$H$25,IF(AND(L17&gt;0,[2]EvaluaciónRiesgoCorrup!$F$11&gt;75,F17=2,H17=10),$J$25,IF(AND(L17&gt;0,[2]EvaluaciónRiesgoCorrup!$F$11&gt;75,F17=2,H17=20),$K$25," ")))</f>
        <v xml:space="preserve"> </v>
      </c>
      <c r="AG17" s="28" t="str">
        <f>IF(AND(L17&gt;0,[2]EvaluaciónRiesgoCorrup!$F$11&gt;75,F17=3,H17=5),$H$25,IF(AND(L17&gt;0,[2]EvaluaciónRiesgoCorrup!$F$11&gt;75,F17=3,H17=10),$J$25,IF(AND(L17&gt;0,[2]EvaluaciónRiesgoCorrup!$F$11&gt;75,F17=3,H17=20),$K$25," ")))</f>
        <v xml:space="preserve"> </v>
      </c>
      <c r="AH17" s="28" t="str">
        <f>IF(AND(L17&gt;0,[2]EvaluaciónRiesgoCorrup!$F$11&gt;75,F17=4,H17=5),$H$26,IF(AND(L17&gt;0,[2]EvaluaciónRiesgoCorrup!$F$11&gt;75,F17=4,H17=10),$J$26,IF(AND(L17&gt;0,[2]EvaluaciónRiesgoCorrup!$F$11&gt;75,F17=4,H17=20),$K$26," ")))</f>
        <v xml:space="preserve"> </v>
      </c>
      <c r="AI17" s="28" t="str">
        <f>IF(AND(L17&gt;0,[2]EvaluaciónRiesgoCorrup!$F$11&gt;75,F17=5,H17=5),$H$27,IF(AND(L17&gt;0,[2]EvaluaciónRiesgoCorrup!$F$11&gt;75,F17=5,H17=10),$J$27,IF(AND(L17&gt;0,[2]EvaluaciónRiesgoCorrup!$F$11&gt;75,F17=5,H17=20),$K$27," ")))</f>
        <v xml:space="preserve"> </v>
      </c>
      <c r="AJ17" s="29" t="s">
        <v>32</v>
      </c>
      <c r="AK17" s="28" t="str">
        <f>IF(AND(L17&gt;0,[2]EvaluaciónRiesgoCorrup!$F$11&gt;50,[2]EvaluaciónRiesgoCorrup!$F$11&lt;76,F17=1,H17=5),$H$25,IF(AND(L17&gt;0,[2]EvaluaciónRiesgoCorrup!$F$11&gt;50,[2]EvaluaciónRiesgoCorrup!$F$11&lt;76,F17=1,H17=10),$J$25,IF(AND(L17&gt;0,[2]EvaluaciónRiesgoCorrup!$F$11&gt;50,[2]EvaluaciónRiesgoCorrup!$F$11&lt;76,F17=1,H17=20),$K$25," ")))</f>
        <v xml:space="preserve"> </v>
      </c>
      <c r="AL17" s="28" t="str">
        <f>IF(AND(L17&gt;0,[2]EvaluaciónRiesgoCorrup!$F$11&gt;50,[2]EvaluaciónRiesgoCorrup!$F$11&lt;76,F17=2,H17=5),$H$25,IF(AND(L17&gt;0,[2]EvaluaciónRiesgoCorrup!$F$11&gt;50,[2]EvaluaciónRiesgoCorrup!$F$11&lt;76,F17=2,H17=10),$J$25,IF(AND(L17&gt;0,[2]EvaluaciónRiesgoCorrup!$F$11&gt;50,[2]EvaluaciónRiesgoCorrup!$F$11&lt;76,F17=2,H17=20),$K$25," ")))</f>
        <v xml:space="preserve"> </v>
      </c>
      <c r="AM17" s="28" t="str">
        <f>IF(AND(L17&gt;0,[2]EvaluaciónRiesgoCorrup!$F$11&gt;50,[2]EvaluaciónRiesgoCorrup!$F$11&lt;76,F17=3,H17=5),$H$26,IF(AND(L17&gt;0,[2]EvaluaciónRiesgoCorrup!$F$11&gt;50,[2]EvaluaciónRiesgoCorrup!$F$11&lt;76,F17=3,H17=10),$J$26,IF(AND(L17&gt;0,[2]EvaluaciónRiesgoCorrup!$F$11&gt;50,[2]EvaluaciónRiesgoCorrup!$F$11&lt;76,F17=3,H17=20),$K$26," ")))</f>
        <v xml:space="preserve"> </v>
      </c>
      <c r="AN17" s="28" t="str">
        <f>IF(AND(L17&gt;0,[2]EvaluaciónRiesgoCorrup!$F$11&gt;50,[2]EvaluaciónRiesgoCorrup!$F$11&lt;76,F17=4,H17=5),$H$27,IF(AND(L17&gt;0,[2]EvaluaciónRiesgoCorrup!$F$11&gt;50,[2]EvaluaciónRiesgoCorrup!$F$11&lt;76,F17=4,H17=10),$J$27,IF(AND(L17&gt;0,[2]EvaluaciónRiesgoCorrup!$F$11&gt;50,[2]EvaluaciónRiesgoCorrup!$F$11&lt;76,F17=4,H17=20),$K$27," ")))</f>
        <v xml:space="preserve"> </v>
      </c>
      <c r="AO17" s="28" t="str">
        <f>IF(AND(L17&gt;0,[2]EvaluaciónRiesgoCorrup!$F$11&gt;50,[2]EvaluaciónRiesgoCorrup!$F$11&lt;76,F17=5,H17=5),$H$28,IF(AND(L17&gt;0,[2]EvaluaciónRiesgoCorrup!$F$11&gt;50,[2]EvaluaciónRiesgoCorrup!$F$11&lt;76,F17=5,H17=10),$J$28,IF(AND(L17&gt;0,[2]EvaluaciónRiesgoCorrup!$F$11&gt;50,[2]EvaluaciónRiesgoCorrup!$F$11&lt;76,F17=5,H17=20),$K$28," ")))</f>
        <v xml:space="preserve"> </v>
      </c>
      <c r="AQ17" s="29" t="s">
        <v>33</v>
      </c>
      <c r="AR17" s="28" t="str">
        <f>IF(AND(L17&gt;0,[2]EvaluaciónRiesgoCorrup!$F$11&lt;51,F17=1,H17=5),$H$25,IF(AND(L17&gt;0,[2]EvaluaciónRiesgoCorrup!$F$11&lt;51,F17=1,H17=10),$J$25,IF(AND(L17&gt;0,[2]EvaluaciónRiesgoCorrup!$F$11&lt;51,F17=1,H17=20),K$25," ")))</f>
        <v xml:space="preserve"> </v>
      </c>
      <c r="AS17" s="28" t="str">
        <f>IF(AND(L17&gt;0,[2]EvaluaciónRiesgoCorrup!$F$11&lt;51,F17=2,H17=5),$H$26,IF(AND(L17&gt;0,[2]EvaluaciónRiesgoCorrup!$F$11&lt;51,F17=2,H17=10),$J$26,IF(AND(L17&gt;0,[2]EvaluaciónRiesgoCorrup!$F$11&lt;51,F17=2,H17=20),K$26," ")))</f>
        <v xml:space="preserve"> </v>
      </c>
      <c r="AT17" s="28" t="str">
        <f>IF(AND(L17&gt;0,[2]EvaluaciónRiesgoCorrup!$F$11&lt;51,F17=3,H17=5),$H$27,IF(AND(L17&gt;0,[2]EvaluaciónRiesgoCorrup!$F$11&lt;51,F17=3,H17=10),$J$27,IF(AND(L17&gt;0,[2]EvaluaciónRiesgoCorrup!$F$11&lt;51,F17=3,H17=20),K$27," ")))</f>
        <v xml:space="preserve"> </v>
      </c>
      <c r="AU17" s="28" t="str">
        <f>IF(AND(L17&gt;0,[2]EvaluaciónRiesgoCorrup!$F$11&lt;51,F17=4,H17=5),$H$28,IF(AND(L17&gt;0,[2]EvaluaciónRiesgoCorrup!$F$11&lt;51,F17=4,H17=10),$J$28,IF(AND(L17&gt;0,[2]EvaluaciónRiesgoCorrup!$F$11&lt;51,F17=4,H17=20),K$28," ")))</f>
        <v xml:space="preserve"> </v>
      </c>
      <c r="AV17" s="28" t="str">
        <f>IF(AND(L17&gt;0,[2]EvaluaciónRiesgoCorrup!$F$11&lt;51,F17=5,H17=5),$H$29,IF(AND(L17&gt;0,[2]EvaluaciónRiesgoCorrup!$F$11&lt;51,F17=5,H17=10),$J$29,IF(AND(L17&gt;0,[2]EvaluaciónRiesgoCorrup!$F$11&lt;51,F17=5,H17=20),K$29," ")))</f>
        <v xml:space="preserve"> </v>
      </c>
      <c r="AY17" s="29" t="s">
        <v>31</v>
      </c>
      <c r="AZ17" s="28" t="str">
        <f>IF(AND(M17&gt;0,[2]EvaluaciónRiesgoCorrup!$F$11&gt;75,F17=1,H17=5),$H$25,IF(AND(M17&gt;0,[2]EvaluaciónRiesgoCorrup!$F$11&gt;75,F17=1,H17=10),$H$25,IF(AND(M17&gt;0,[2]EvaluaciónRiesgoCorrup!$F$11&gt;75,F17=1,H17=20),$H$25," ")))</f>
        <v xml:space="preserve"> </v>
      </c>
      <c r="BA17" s="28" t="str">
        <f>IF(AND(M17&gt;0,[2]EvaluaciónRiesgoCorrup!$F$11&gt;75,F17=2,H17=5),$H$26,IF(AND(M17&gt;0,[2]EvaluaciónRiesgoCorrup!$F$11&gt;75,F17=2,H17=10),$H$26,IF(AND(M17&gt;0,[2]EvaluaciónRiesgoCorrup!$F$11&gt;75,F17=2,H17=20),$H$26," ")))</f>
        <v xml:space="preserve"> </v>
      </c>
      <c r="BB17" s="28" t="str">
        <f>IF(AND(M17&gt;0,[2]EvaluaciónRiesgoCorrup!$F$11&gt;75,F17=3,H17=5),$H$27,IF(AND(M17&gt;0,[2]EvaluaciónRiesgoCorrup!$F$11&gt;75,F17=3,H17=10),$H$27,IF(AND(M17&gt;0,[2]EvaluaciónRiesgoCorrup!$F$11&gt;75,F17=3,H17=20),$H$27," ")))</f>
        <v xml:space="preserve"> </v>
      </c>
      <c r="BC17" s="28" t="str">
        <f>IF(AND(M17&gt;0,[2]EvaluaciónRiesgoCorrup!$F$11&gt;75,F17=4,H17=5),$H$28,IF(AND(M17&gt;0,[2]EvaluaciónRiesgoCorrup!$F$11&gt;75,F17=4,H17=10),$H$28,IF(AND(M17&gt;0,[2]EvaluaciónRiesgoCorrup!$F$11&gt;75,F17=4,H17=20),$H$28," ")))</f>
        <v xml:space="preserve"> </v>
      </c>
      <c r="BD17" s="28" t="str">
        <f>IF(AND(M17&gt;0,[2]EvaluaciónRiesgoCorrup!$F$11&gt;75,F17=5,H17=5),$H$29,IF(AND(M17&gt;0,[2]EvaluaciónRiesgoCorrup!$F$11&gt;75,F17=5,H17=10),$H$29,IF(AND(M17&gt;0,[2]EvaluaciónRiesgoCorrup!$F$11&gt;75,F17=5,H17=20),$H$29," ")))</f>
        <v xml:space="preserve"> </v>
      </c>
      <c r="BF17" s="29" t="s">
        <v>32</v>
      </c>
      <c r="BG17" s="28" t="str">
        <f>IF(AND(M17&gt;0,[2]EvaluaciónRiesgoCorrup!$F$11&gt;50,[2]EvaluaciónRiesgoCorrup!$F$11&lt;76,F17=1,H17=5),$H$25,IF(AND(M17&gt;0,[2]EvaluaciónRiesgoCorrup!$F$11&gt;50,[2]EvaluaciónRiesgoCorrup!$F$11&lt;76,F17=1,H17=10),$H$25,IF(AND(M17&gt;0,[2]EvaluaciónRiesgoCorrup!$F$11&gt;50,[2]EvaluaciónRiesgoCorrup!$F$11&lt;76,F17=1,H17=20),$J$25," ")))</f>
        <v xml:space="preserve"> </v>
      </c>
      <c r="BH17" s="28" t="str">
        <f>IF(AND(M17&gt;0,[2]EvaluaciónRiesgoCorrup!$F$11&gt;50,[2]EvaluaciónRiesgoCorrup!$F$11&lt;76,F17=2,H17=5),$H$26,IF(AND(M17&gt;0,[2]EvaluaciónRiesgoCorrup!$F$11&gt;50,[2]EvaluaciónRiesgoCorrup!$F$11&lt;76,F17=2,H17=10),$H$26,IF(AND(M17&gt;0,[2]EvaluaciónRiesgoCorrup!$F$11&gt;50,[2]EvaluaciónRiesgoCorrup!$F$11&lt;76,F17=2,H17=20),$J$26," ")))</f>
        <v xml:space="preserve"> </v>
      </c>
      <c r="BI17" s="28" t="str">
        <f>IF(AND(M17&gt;0,[2]EvaluaciónRiesgoCorrup!$F$11&gt;50,[2]EvaluaciónRiesgoCorrup!$F$11&lt;76,F17=3,H17=5),$H$27,IF(AND(M17&gt;0,[2]EvaluaciónRiesgoCorrup!$F$11&gt;50,[2]EvaluaciónRiesgoCorrup!$F$11&lt;76,F17=3,H17=10),$H$27,IF(AND(M17&gt;0,[2]EvaluaciónRiesgoCorrup!$F$11&gt;50,[2]EvaluaciónRiesgoCorrup!$F$11&lt;76,F17=3,H17=20),$J$27," ")))</f>
        <v xml:space="preserve"> </v>
      </c>
      <c r="BJ17" s="28" t="str">
        <f>IF(AND(M17&gt;0,[2]EvaluaciónRiesgoCorrup!$F$11&gt;50,[2]EvaluaciónRiesgoCorrup!$F$11&lt;76,F17=4,H17=5),$H$28,IF(AND(M17&gt;0,[2]EvaluaciónRiesgoCorrup!$F$11&gt;50,[2]EvaluaciónRiesgoCorrup!$F$11&lt;76,F17=4,H17=10),$H$28,IF(AND(M17&gt;0,[2]EvaluaciónRiesgoCorrup!$F$11&gt;50,[2]EvaluaciónRiesgoCorrup!$F$11&lt;76,F17=4,H17=20),$J$28," ")))</f>
        <v xml:space="preserve"> </v>
      </c>
      <c r="BK17" s="28" t="str">
        <f>IF(AND(M17&gt;0,[2]EvaluaciónRiesgoCorrup!$F$11&gt;50,[2]EvaluaciónRiesgoCorrup!$F$11&lt;76,F17=5,H17=5),$H$29,IF(AND(M17&gt;0,[2]EvaluaciónRiesgoCorrup!$F$11&gt;50,[2]EvaluaciónRiesgoCorrup!$F$11&lt;76,F17=5,H17=10),$H$29,IF(AND(M17&gt;0,[2]EvaluaciónRiesgoCorrup!$F$11&gt;50,[2]EvaluaciónRiesgoCorrup!$F$11&lt;76,F17=5,H17=20),$J$29," ")))</f>
        <v xml:space="preserve"> </v>
      </c>
      <c r="BM17" s="29" t="s">
        <v>33</v>
      </c>
      <c r="BN17" s="28" t="str">
        <f>IF(AND(M17&gt;0,[2]EvaluaciónRiesgoCorrup!$F$11&lt;51,F17=1,H17=5),$H$25,IF(AND(M17&gt;0,[2]EvaluaciónRiesgoCorrup!$F$11&lt;51,F17=1,H17=10),$J$25,IF(AND(M17&gt;0,[2]EvaluaciónRiesgoCorrup!$F$11&lt;51,F17=1,H17=20),$K$25," ")))</f>
        <v xml:space="preserve"> </v>
      </c>
      <c r="BO17" s="28" t="str">
        <f>IF(AND(M17&gt;0,[2]EvaluaciónRiesgoCorrup!$F$11&lt;51,F17=2,H17=5),$H$26,IF(AND(M17&gt;0,[2]EvaluaciónRiesgoCorrup!$F$11&lt;51,F17=2,H17=10),$J$26,IF(AND(M17&gt;0,[2]EvaluaciónRiesgoCorrup!$F$11&lt;51,F17=2,H17=20),$K$26," ")))</f>
        <v xml:space="preserve"> </v>
      </c>
      <c r="BP17" s="28" t="str">
        <f>IF(AND(M17&gt;0,[2]EvaluaciónRiesgoCorrup!$F$11&lt;51,F17=3,H17=5),$H$27,IF(AND(M17&gt;0,[2]EvaluaciónRiesgoCorrup!$F$11&lt;51,F17=3,H17=10),$J$27,IF(AND(M17&gt;0,[2]EvaluaciónRiesgoCorrup!$F$11&lt;51,F17=3,H17=20),$K$27," ")))</f>
        <v xml:space="preserve"> </v>
      </c>
      <c r="BQ17" s="28" t="str">
        <f>IF(AND(M17&gt;0,[2]EvaluaciónRiesgoCorrup!$F$11&lt;51,F17=4,H17=5),$H$28,IF(AND(M17&gt;0,[2]EvaluaciónRiesgoCorrup!$F$11&lt;51,F17=4,H17=10),$J$28,IF(AND(M17&gt;0,[2]EvaluaciónRiesgoCorrup!$F$11&lt;51,F17=4,H17=20),$K$28," ")))</f>
        <v xml:space="preserve"> </v>
      </c>
      <c r="BR17" s="28" t="str">
        <f>IF(AND(M17&gt;0,[2]EvaluaciónRiesgoCorrup!$F$11&lt;51,F17=5,H17=5),$H$29,IF(AND(M17&gt;0,[2]EvaluaciónRiesgoCorrup!$F$11&lt;51,F17=5,H17=10),$J$29,IF(AND(M17&gt;0,[2]EvaluaciónRiesgoCorrup!$F$11&lt;51,F17=5,H17=20),$K$29," ")))</f>
        <v xml:space="preserve"> </v>
      </c>
    </row>
    <row r="18" spans="1:70" ht="153.75" customHeight="1" x14ac:dyDescent="0.35">
      <c r="A18" s="575" t="s">
        <v>364</v>
      </c>
      <c r="B18" s="581" t="s">
        <v>365</v>
      </c>
      <c r="C18" s="575" t="s">
        <v>366</v>
      </c>
      <c r="D18" s="575" t="s">
        <v>367</v>
      </c>
      <c r="E18" s="569" t="s">
        <v>119</v>
      </c>
      <c r="F18" s="570">
        <v>1</v>
      </c>
      <c r="G18" s="570" t="s">
        <v>121</v>
      </c>
      <c r="H18" s="571">
        <v>10</v>
      </c>
      <c r="I18" s="571" t="s">
        <v>108</v>
      </c>
      <c r="J18" s="572" t="s">
        <v>48</v>
      </c>
      <c r="K18" s="580" t="s">
        <v>368</v>
      </c>
      <c r="L18" s="1065" t="s">
        <v>10</v>
      </c>
      <c r="M18" s="1066"/>
      <c r="N18" s="572" t="s">
        <v>48</v>
      </c>
      <c r="O18" s="573" t="s">
        <v>154</v>
      </c>
      <c r="P18" s="574" t="s">
        <v>83</v>
      </c>
      <c r="Q18" s="579" t="s">
        <v>369</v>
      </c>
      <c r="R18" s="574" t="s">
        <v>370</v>
      </c>
      <c r="S18" s="857">
        <v>42947</v>
      </c>
      <c r="T18" s="577" t="s">
        <v>371</v>
      </c>
      <c r="U18" s="576" t="s">
        <v>362</v>
      </c>
      <c r="V18" s="578" t="s">
        <v>363</v>
      </c>
      <c r="X18" s="28" t="str">
        <f>IF(AND(F18=1,H18=5),$H$25,IF(AND(F18=1,H18=10),$J$25,IF(AND(F18=1,H18=20),$K$25," ")))</f>
        <v>B</v>
      </c>
      <c r="Y18" s="28" t="str">
        <f>IF(AND(F18=2,H18=5),$H$26,IF(AND(F18=2,H18=10),$J$26,IF(AND(F18=2,H18=20),$K$26," ")))</f>
        <v xml:space="preserve"> </v>
      </c>
      <c r="Z18" s="28" t="str">
        <f>IF(AND(F18=3,H18=5),$H$27,IF(AND(F18=3,H18=10),$J$27,IF(AND(F18=3,H18=20),$K$27," ")))</f>
        <v xml:space="preserve"> </v>
      </c>
      <c r="AA18" s="28" t="str">
        <f>IF(AND(F18=4,H18=5),$H$28,IF(AND(F18=4,H18=10),$J$28,IF(AND(F18=4,H18=20),$K$28," ")))</f>
        <v xml:space="preserve"> </v>
      </c>
      <c r="AB18" s="28" t="str">
        <f>IF(AND(F18=5,H18=5),$H$29,IF(AND(F18=5,H18=10),$J$29,IF(AND(F18=5,H18=20),$K$29," ")))</f>
        <v xml:space="preserve"> </v>
      </c>
      <c r="AE18" s="28" t="str">
        <f>IF(AND(L18&gt;0,[2]EvaluaciónRiesgoCorrup!$F$11&gt;75,F18=1,H18=5),$H$25,IF(AND(L18&gt;0,[2]EvaluaciónRiesgoCorrup!$F$11&gt;75,F18=1,H18=10),$J$25,IF(AND(L18&gt;0,[2]EvaluaciónRiesgoCorrup!$F$11&gt;75,F18=1,H18=20),$K$25," ")))</f>
        <v>B</v>
      </c>
      <c r="AF18" s="28" t="str">
        <f>IF(AND(L18&gt;0,[2]EvaluaciónRiesgoCorrup!$F$11&gt;75,F18=2,H18=5),$H$25,IF(AND(L18&gt;0,[2]EvaluaciónRiesgoCorrup!$F$11&gt;75,F18=2,H18=10),$J$25,IF(AND(L18&gt;0,[2]EvaluaciónRiesgoCorrup!$F$11&gt;75,F18=2,H18=20),$K$25," ")))</f>
        <v xml:space="preserve"> </v>
      </c>
      <c r="AG18" s="28" t="str">
        <f>IF(AND(L18&gt;0,[2]EvaluaciónRiesgoCorrup!$F$11&gt;75,F18=3,H18=5),$H$25,IF(AND(L18&gt;0,[2]EvaluaciónRiesgoCorrup!$F$11&gt;75,F18=3,H18=10),$J$25,IF(AND(L18&gt;0,[2]EvaluaciónRiesgoCorrup!$F$11&gt;75,F18=3,H18=20),$K$25," ")))</f>
        <v xml:space="preserve"> </v>
      </c>
      <c r="AH18" s="28" t="str">
        <f>IF(AND(L18&gt;0,[2]EvaluaciónRiesgoCorrup!$F$11&gt;75,F18=4,H18=5),$H$26,IF(AND(L18&gt;0,[2]EvaluaciónRiesgoCorrup!$F$11&gt;75,F18=4,H18=10),$J$26,IF(AND(L18&gt;0,[2]EvaluaciónRiesgoCorrup!$F$11&gt;75,F18=4,H18=20),$K$26," ")))</f>
        <v xml:space="preserve"> </v>
      </c>
      <c r="AI18" s="28" t="str">
        <f>IF(AND(L18&gt;0,[2]EvaluaciónRiesgoCorrup!$F$11&gt;75,F18=5,H18=5),$H$27,IF(AND(L18&gt;0,[2]EvaluaciónRiesgoCorrup!$F$11&gt;75,F18=5,H18=10),$J$27,IF(AND(L18&gt;0,[2]EvaluaciónRiesgoCorrup!$F$11&gt;75,F18=5,H18=20),$K$27," ")))</f>
        <v xml:space="preserve"> </v>
      </c>
      <c r="AK18" s="28" t="str">
        <f>IF(AND(L18&gt;0,[2]EvaluaciónRiesgoCorrup!$F$11&gt;50,[2]EvaluaciónRiesgoCorrup!$F$11&lt;76,F18=1,H18=5),$H$25,IF(AND(L18&gt;0,[2]EvaluaciónRiesgoCorrup!$F$11&gt;50,[2]EvaluaciónRiesgoCorrup!$F$11&lt;76,F18=1,H18=10),$J$25,IF(AND(L18&gt;0,[2]EvaluaciónRiesgoCorrup!$F$11&gt;50,[2]EvaluaciónRiesgoCorrup!$F$11&lt;76,F18=1,H18=20),$K$25," ")))</f>
        <v xml:space="preserve"> </v>
      </c>
      <c r="AL18" s="28" t="str">
        <f>IF(AND(L18&gt;0,[2]EvaluaciónRiesgoCorrup!$F$11&gt;50,[2]EvaluaciónRiesgoCorrup!$F$11&lt;76,F18=2,H18=5),$H$25,IF(AND(L18&gt;0,[2]EvaluaciónRiesgoCorrup!$F$11&gt;50,[2]EvaluaciónRiesgoCorrup!$F$11&lt;76,F18=2,H18=10),$J$25,IF(AND(L18&gt;0,[2]EvaluaciónRiesgoCorrup!$F$11&gt;50,[2]EvaluaciónRiesgoCorrup!$F$11&lt;76,F18=2,H18=20),$K$25," ")))</f>
        <v xml:space="preserve"> </v>
      </c>
      <c r="AM18" s="28" t="str">
        <f>IF(AND(L18&gt;0,[2]EvaluaciónRiesgoCorrup!$F$11&gt;50,[2]EvaluaciónRiesgoCorrup!$F$11&lt;76,F18=3,H18=5),$H$26,IF(AND(L18&gt;0,[2]EvaluaciónRiesgoCorrup!$F$11&gt;50,[2]EvaluaciónRiesgoCorrup!$F$11&lt;76,F18=3,H18=10),$J$26,IF(AND(L18&gt;0,[2]EvaluaciónRiesgoCorrup!$F$11&gt;50,[2]EvaluaciónRiesgoCorrup!$F$11&lt;76,F18=3,H18=20),$K$26," ")))</f>
        <v xml:space="preserve"> </v>
      </c>
      <c r="AN18" s="28" t="str">
        <f>IF(AND(L18&gt;0,[2]EvaluaciónRiesgoCorrup!$F$11&gt;50,[2]EvaluaciónRiesgoCorrup!$F$11&lt;76,F18=4,H18=5),$H$27,IF(AND(L18&gt;0,[2]EvaluaciónRiesgoCorrup!$F$11&gt;50,[2]EvaluaciónRiesgoCorrup!$F$11&lt;76,F18=4,H18=10),$J$27,IF(AND(L18&gt;0,[2]EvaluaciónRiesgoCorrup!$F$11&gt;50,[2]EvaluaciónRiesgoCorrup!$F$11&lt;76,F18=4,H18=20),$K$27," ")))</f>
        <v xml:space="preserve"> </v>
      </c>
      <c r="AO18" s="28" t="str">
        <f>IF(AND(L18&gt;0,[2]EvaluaciónRiesgoCorrup!$F$11&gt;50,[2]EvaluaciónRiesgoCorrup!$F$11&lt;76,F18=5,H18=5),$H$28,IF(AND(L18&gt;0,[2]EvaluaciónRiesgoCorrup!$F$11&gt;50,[2]EvaluaciónRiesgoCorrup!$F$11&lt;76,F18=5,H18=10),$J$28,IF(AND(L18&gt;0,[2]EvaluaciónRiesgoCorrup!$F$11&gt;50,[2]EvaluaciónRiesgoCorrup!$F$11&lt;76,F18=5,H18=20),$K$28," ")))</f>
        <v xml:space="preserve"> </v>
      </c>
      <c r="AR18" s="28" t="str">
        <f>IF(AND(L18&gt;0,[2]EvaluaciónRiesgoCorrup!$F$11&lt;51,F18=1,H18=5),$H$25,IF(AND(L18&gt;0,[2]EvaluaciónRiesgoCorrup!$F$11&lt;51,F18=1,H18=10),$J$25,IF(AND(L18&gt;0,[2]EvaluaciónRiesgoCorrup!$F$11&lt;51,F18=1,H18=20),K$25," ")))</f>
        <v xml:space="preserve"> </v>
      </c>
      <c r="AS18" s="28" t="str">
        <f>IF(AND(L18&gt;0,[2]EvaluaciónRiesgoCorrup!$F$11&lt;51,F18=2,H18=5),$H$26,IF(AND(L18&gt;0,[2]EvaluaciónRiesgoCorrup!$F$11&lt;51,F18=2,H18=10),$J$26,IF(AND(L18&gt;0,[2]EvaluaciónRiesgoCorrup!$F$11&lt;51,F18=2,H18=20),K$26," ")))</f>
        <v xml:space="preserve"> </v>
      </c>
      <c r="AT18" s="28" t="str">
        <f>IF(AND(L18&gt;0,[2]EvaluaciónRiesgoCorrup!$F$11&lt;51,F18=3,H18=5),$H$27,IF(AND(L18&gt;0,[2]EvaluaciónRiesgoCorrup!$F$11&lt;51,F18=3,H18=10),$J$27,IF(AND(L18&gt;0,[2]EvaluaciónRiesgoCorrup!$F$11&lt;51,F18=3,H18=20),K$27," ")))</f>
        <v xml:space="preserve"> </v>
      </c>
      <c r="AU18" s="28" t="str">
        <f>IF(AND(L18&gt;0,[2]EvaluaciónRiesgoCorrup!$F$11&lt;51,F18=4,H18=5),$H$28,IF(AND(L18&gt;0,[2]EvaluaciónRiesgoCorrup!$F$11&lt;51,F18=4,H18=10),$J$28,IF(AND(L18&gt;0,[2]EvaluaciónRiesgoCorrup!$F$11&lt;51,F18=4,H18=20),K$28," ")))</f>
        <v xml:space="preserve"> </v>
      </c>
      <c r="AV18" s="28" t="str">
        <f>IF(AND(L18&gt;0,[2]EvaluaciónRiesgoCorrup!$F$11&lt;51,F18=5,H18=5),$H$29,IF(AND(L18&gt;0,[2]EvaluaciónRiesgoCorrup!$F$11&lt;51,F18=5,H18=10),$J$29,IF(AND(L18&gt;0,[2]EvaluaciónRiesgoCorrup!$F$11&lt;51,F18=5,H18=20),K$29," ")))</f>
        <v xml:space="preserve"> </v>
      </c>
      <c r="AZ18" s="28" t="str">
        <f>IF(AND(M18&gt;0,[2]EvaluaciónRiesgoCorrup!$F$11&gt;75,F18=1,H18=5),$H$25,IF(AND(M18&gt;0,[2]EvaluaciónRiesgoCorrup!$F$11&gt;75,F18=1,H18=10),$H$25,IF(AND(M18&gt;0,[2]EvaluaciónRiesgoCorrup!$F$11&gt;75,F18=1,H18=20),$H$25," ")))</f>
        <v xml:space="preserve"> </v>
      </c>
      <c r="BA18" s="28" t="str">
        <f>IF(AND(M18&gt;0,[2]EvaluaciónRiesgoCorrup!$F$11&gt;75,F18=2,H18=5),$H$26,IF(AND(M18&gt;0,[2]EvaluaciónRiesgoCorrup!$F$11&gt;75,F18=2,H18=10),$H$26,IF(AND(M18&gt;0,[2]EvaluaciónRiesgoCorrup!$F$11&gt;75,F18=2,H18=20),$H$26," ")))</f>
        <v xml:space="preserve"> </v>
      </c>
      <c r="BB18" s="28" t="str">
        <f>IF(AND(M18&gt;0,[2]EvaluaciónRiesgoCorrup!$F$11&gt;75,F18=3,H18=5),$H$27,IF(AND(M18&gt;0,[2]EvaluaciónRiesgoCorrup!$F$11&gt;75,F18=3,H18=10),$H$27,IF(AND(M18&gt;0,[2]EvaluaciónRiesgoCorrup!$F$11&gt;75,F18=3,H18=20),$H$27," ")))</f>
        <v xml:space="preserve"> </v>
      </c>
      <c r="BC18" s="28" t="str">
        <f>IF(AND(M18&gt;0,[2]EvaluaciónRiesgoCorrup!$F$11&gt;75,F18=4,H18=5),$H$28,IF(AND(M18&gt;0,[2]EvaluaciónRiesgoCorrup!$F$11&gt;75,F18=4,H18=10),$H$28,IF(AND(M18&gt;0,[2]EvaluaciónRiesgoCorrup!$F$11&gt;75,F18=4,H18=20),$H$28," ")))</f>
        <v xml:space="preserve"> </v>
      </c>
      <c r="BD18" s="28" t="str">
        <f>IF(AND(M18&gt;0,[2]EvaluaciónRiesgoCorrup!$F$11&gt;75,F18=5,H18=5),$H$29,IF(AND(M18&gt;0,[2]EvaluaciónRiesgoCorrup!$F$11&gt;75,F18=5,H18=10),$H$29,IF(AND(M18&gt;0,[2]EvaluaciónRiesgoCorrup!$F$11&gt;75,F18=5,H18=20),$H$29," ")))</f>
        <v xml:space="preserve"> </v>
      </c>
      <c r="BG18" s="28" t="str">
        <f>IF(AND(M18&gt;0,[2]EvaluaciónRiesgoCorrup!$F$11&gt;50,[2]EvaluaciónRiesgoCorrup!$F$11&lt;76,F18=1,H18=5),$H$25,IF(AND(M18&gt;0,[2]EvaluaciónRiesgoCorrup!$F$11&gt;50,[2]EvaluaciónRiesgoCorrup!$F$11&lt;76,F18=1,H18=10),$H$25,IF(AND(M18&gt;0,[2]EvaluaciónRiesgoCorrup!$F$11&gt;50,[2]EvaluaciónRiesgoCorrup!$F$11&lt;76,F18=1,H18=20),$J$25," ")))</f>
        <v xml:space="preserve"> </v>
      </c>
      <c r="BH18" s="28" t="str">
        <f>IF(AND(M18&gt;0,[2]EvaluaciónRiesgoCorrup!$F$11&gt;50,[2]EvaluaciónRiesgoCorrup!$F$11&lt;76,F18=2,H18=5),$H$26,IF(AND(M18&gt;0,[2]EvaluaciónRiesgoCorrup!$F$11&gt;50,[2]EvaluaciónRiesgoCorrup!$F$11&lt;76,F18=2,H18=10),$H$26,IF(AND(M18&gt;0,[2]EvaluaciónRiesgoCorrup!$F$11&gt;50,[2]EvaluaciónRiesgoCorrup!$F$11&lt;76,F18=2,H18=20),$J$26," ")))</f>
        <v xml:space="preserve"> </v>
      </c>
      <c r="BI18" s="28" t="str">
        <f>IF(AND(M18&gt;0,[2]EvaluaciónRiesgoCorrup!$F$11&gt;50,[2]EvaluaciónRiesgoCorrup!$F$11&lt;76,F18=3,H18=5),$H$27,IF(AND(M18&gt;0,[2]EvaluaciónRiesgoCorrup!$F$11&gt;50,[2]EvaluaciónRiesgoCorrup!$F$11&lt;76,F18=3,H18=10),$H$27,IF(AND(M18&gt;0,[2]EvaluaciónRiesgoCorrup!$F$11&gt;50,[2]EvaluaciónRiesgoCorrup!$F$11&lt;76,F18=3,H18=20),$J$27," ")))</f>
        <v xml:space="preserve"> </v>
      </c>
      <c r="BJ18" s="28" t="str">
        <f>IF(AND(M18&gt;0,[2]EvaluaciónRiesgoCorrup!$F$11&gt;50,[2]EvaluaciónRiesgoCorrup!$F$11&lt;76,F18=4,H18=5),$H$28,IF(AND(M18&gt;0,[2]EvaluaciónRiesgoCorrup!$F$11&gt;50,[2]EvaluaciónRiesgoCorrup!$F$11&lt;76,F18=4,H18=10),$H$28,IF(AND(M18&gt;0,[2]EvaluaciónRiesgoCorrup!$F$11&gt;50,[2]EvaluaciónRiesgoCorrup!$F$11&lt;76,F18=4,H18=20),$J$28," ")))</f>
        <v xml:space="preserve"> </v>
      </c>
      <c r="BK18" s="28" t="str">
        <f>IF(AND(M18&gt;0,[2]EvaluaciónRiesgoCorrup!$F$11&gt;50,[2]EvaluaciónRiesgoCorrup!$F$11&lt;76,F18=5,H18=5),$H$29,IF(AND(M18&gt;0,[2]EvaluaciónRiesgoCorrup!$F$11&gt;50,[2]EvaluaciónRiesgoCorrup!$F$11&lt;76,F18=5,H18=10),$H$29,IF(AND(M18&gt;0,[2]EvaluaciónRiesgoCorrup!$F$11&gt;50,[2]EvaluaciónRiesgoCorrup!$F$11&lt;76,F18=5,H18=20),$J$29," ")))</f>
        <v xml:space="preserve"> </v>
      </c>
      <c r="BN18" s="28" t="str">
        <f>IF(AND(M18&gt;0,[2]EvaluaciónRiesgoCorrup!$F$11&lt;51,F18=1,H18=5),$H$25,IF(AND(M18&gt;0,[2]EvaluaciónRiesgoCorrup!$F$11&lt;51,F18=1,H18=10),$J$25,IF(AND(M18&gt;0,[2]EvaluaciónRiesgoCorrup!$F$11&lt;51,F18=1,H18=20),$K$25," ")))</f>
        <v xml:space="preserve"> </v>
      </c>
      <c r="BO18" s="28" t="str">
        <f>IF(AND(M18&gt;0,[2]EvaluaciónRiesgoCorrup!$F$11&lt;51,F18=2,H18=5),$H$26,IF(AND(M18&gt;0,[2]EvaluaciónRiesgoCorrup!$F$11&lt;51,F18=2,H18=10),$J$26,IF(AND(M18&gt;0,[2]EvaluaciónRiesgoCorrup!$F$11&lt;51,F18=2,H18=20),$K$26," ")))</f>
        <v xml:space="preserve"> </v>
      </c>
      <c r="BP18" s="28" t="str">
        <f>IF(AND(M18&gt;0,[2]EvaluaciónRiesgoCorrup!$F$11&lt;51,F18=3,H18=5),$H$27,IF(AND(M18&gt;0,[2]EvaluaciónRiesgoCorrup!$F$11&lt;51,F18=3,H18=10),$J$27,IF(AND(M18&gt;0,[2]EvaluaciónRiesgoCorrup!$F$11&lt;51,F18=3,H18=20),$K$27," ")))</f>
        <v xml:space="preserve"> </v>
      </c>
      <c r="BQ18" s="28" t="str">
        <f>IF(AND(M18&gt;0,[2]EvaluaciónRiesgoCorrup!$F$11&lt;51,F18=4,H18=5),$H$28,IF(AND(M18&gt;0,[2]EvaluaciónRiesgoCorrup!$F$11&lt;51,F18=4,H18=10),$J$28,IF(AND(M18&gt;0,[2]EvaluaciónRiesgoCorrup!$F$11&lt;51,F18=4,H18=20),$K$28," ")))</f>
        <v xml:space="preserve"> </v>
      </c>
      <c r="BR18" s="28" t="str">
        <f>IF(AND(M18&gt;0,[2]EvaluaciónRiesgoCorrup!$F$11&lt;51,F18=5,H18=5),$H$29,IF(AND(M18&gt;0,[2]EvaluaciónRiesgoCorrup!$F$11&lt;51,F18=5,H18=10),$J$29,IF(AND(M18&gt;0,[2]EvaluaciónRiesgoCorrup!$F$11&lt;51,F18=5,H18=20),$K$29," ")))</f>
        <v xml:space="preserve"> </v>
      </c>
    </row>
    <row r="19" spans="1:70" ht="153.75" customHeight="1" x14ac:dyDescent="0.35">
      <c r="A19" s="55"/>
      <c r="B19" s="22"/>
      <c r="C19" s="408"/>
      <c r="D19" s="22"/>
      <c r="E19" s="408"/>
      <c r="F19" s="23" t="str">
        <f>IF([2]AnálisisRiesgo!B11&gt;0,5,IF([2]AnálisisRiesgo!C11&gt;0,4,IF([2]AnálisisRiesgo!D11&gt;0,3,IF([2]AnálisisRiesgo!E11&gt;0,2,IF([2]AnálisisRiesgo!F11&gt;0,1,"")))))</f>
        <v/>
      </c>
      <c r="G19" s="548"/>
      <c r="H19" s="23" t="str">
        <f>IF([2]AnálisisRiesgo!G11&gt;0,5,IF([2]AnálisisRiesgo!H11&gt;0,4,IF([2]AnálisisRiesgo!I11&gt;0,3,IF([2]AnálisisRiesgo!J11&gt;0,2,IF([2]AnálisisRiesgo!K11&gt;0,1,IF([2]AnálisisRiesgo!L11&gt;0,20,IF([2]AnálisisRiesgo!M11&gt;0,10,IF([2]AnálisisRiesgo!N11&gt;0,5,""))))))))</f>
        <v/>
      </c>
      <c r="I19" s="548"/>
      <c r="J19" s="23" t="str">
        <f>CONCATENATE(X19,Y19,Z19,AA19,AB19)</f>
        <v xml:space="preserve">     </v>
      </c>
      <c r="K19" s="24"/>
      <c r="L19" s="25"/>
      <c r="M19" s="26"/>
      <c r="N19" s="23" t="str">
        <f>CONCATENATE(AE19,AF19,AG19,AH19,AI19,AK19,AL19,AM19,AN19,AO19,AR19,AS19,AT19,AU19,AV19,AZ19,BA19,BB19,BC19,BD19,BG19,BH19,BI19,BJ19,BK19,BN19,BO19,BP19,BQ19,BR19)</f>
        <v xml:space="preserve">                              </v>
      </c>
      <c r="O19" s="548"/>
      <c r="P19" s="23"/>
      <c r="Q19" s="23"/>
      <c r="R19" s="23"/>
      <c r="S19" s="27"/>
      <c r="T19" s="27"/>
      <c r="U19" s="27"/>
      <c r="V19" s="28"/>
      <c r="X19" s="28" t="str">
        <f>IF(AND(F19=1,H19=5),$H$25,IF(AND(F19=1,H19=10),$J$25,IF(AND(F19=1,H19=20),$K$25," ")))</f>
        <v xml:space="preserve"> </v>
      </c>
      <c r="Y19" s="28" t="str">
        <f>IF(AND(F19=2,H19=5),$H$26,IF(AND(F19=2,H19=10),$J$26,IF(AND(F19=2,H19=20),$K$26," ")))</f>
        <v xml:space="preserve"> </v>
      </c>
      <c r="Z19" s="28" t="str">
        <f>IF(AND(F19=3,H19=5),$H$27,IF(AND(F19=3,H19=10),$J$27,IF(AND(F19=3,H19=20),$K$27," ")))</f>
        <v xml:space="preserve"> </v>
      </c>
      <c r="AA19" s="28" t="str">
        <f>IF(AND(F19=4,H19=5),$H$28,IF(AND(F19=4,H19=10),$J$28,IF(AND(F19=4,H19=20),$K$28," ")))</f>
        <v xml:space="preserve"> </v>
      </c>
      <c r="AB19" s="28" t="str">
        <f>IF(AND(F19=5,H19=5),$H$29,IF(AND(F19=5,H19=10),$J$29,IF(AND(F19=5,H19=20),$K$29," ")))</f>
        <v xml:space="preserve"> </v>
      </c>
      <c r="AE19" s="28" t="str">
        <f>IF(AND(L19&gt;0,[2]EvaluaciónRiesgoCorrup!$F$11&gt;75,F19=1,H19=5),$H$25,IF(AND(L19&gt;0,[2]EvaluaciónRiesgoCorrup!$F$11&gt;75,F19=1,H19=10),$J$25,IF(AND(L19&gt;0,[2]EvaluaciónRiesgoCorrup!$F$11&gt;75,F19=1,H19=20),$K$25," ")))</f>
        <v xml:space="preserve"> </v>
      </c>
      <c r="AF19" s="28" t="str">
        <f>IF(AND(L19&gt;0,[2]EvaluaciónRiesgoCorrup!$F$11&gt;75,F19=2,H19=5),$H$25,IF(AND(L19&gt;0,[2]EvaluaciónRiesgoCorrup!$F$11&gt;75,F19=2,H19=10),$J$25,IF(AND(L19&gt;0,[2]EvaluaciónRiesgoCorrup!$F$11&gt;75,F19=2,H19=20),$K$25," ")))</f>
        <v xml:space="preserve"> </v>
      </c>
      <c r="AG19" s="28" t="str">
        <f>IF(AND(L19&gt;0,[2]EvaluaciónRiesgoCorrup!$F$11&gt;75,F19=3,H19=5),$H$25,IF(AND(L19&gt;0,[2]EvaluaciónRiesgoCorrup!$F$11&gt;75,F19=3,H19=10),$J$25,IF(AND(L19&gt;0,[2]EvaluaciónRiesgoCorrup!$F$11&gt;75,F19=3,H19=20),$K$25," ")))</f>
        <v xml:space="preserve"> </v>
      </c>
      <c r="AH19" s="28" t="str">
        <f>IF(AND(L19&gt;0,[2]EvaluaciónRiesgoCorrup!$F$11&gt;75,F19=4,H19=5),$H$26,IF(AND(L19&gt;0,[2]EvaluaciónRiesgoCorrup!$F$11&gt;75,F19=4,H19=10),$J$26,IF(AND(L19&gt;0,[2]EvaluaciónRiesgoCorrup!$F$11&gt;75,F19=4,H19=20),$K$26," ")))</f>
        <v xml:space="preserve"> </v>
      </c>
      <c r="AI19" s="28" t="str">
        <f>IF(AND(L19&gt;0,[2]EvaluaciónRiesgoCorrup!$F$11&gt;75,F19=5,H19=5),$H$27,IF(AND(L19&gt;0,[2]EvaluaciónRiesgoCorrup!$F$11&gt;75,F19=5,H19=10),$J$27,IF(AND(L19&gt;0,[2]EvaluaciónRiesgoCorrup!$F$11&gt;75,F19=5,H19=20),$K$27," ")))</f>
        <v xml:space="preserve"> </v>
      </c>
      <c r="AK19" s="28" t="str">
        <f>IF(AND(L19&gt;0,[2]EvaluaciónRiesgoCorrup!$F$11&gt;50,[2]EvaluaciónRiesgoCorrup!$F$11&lt;76,F19=1,H19=5),$H$25,IF(AND(L19&gt;0,[2]EvaluaciónRiesgoCorrup!$F$11&gt;50,[2]EvaluaciónRiesgoCorrup!$F$11&lt;76,F19=1,H19=10),$J$25,IF(AND(L19&gt;0,[2]EvaluaciónRiesgoCorrup!$F$11&gt;50,[2]EvaluaciónRiesgoCorrup!$F$11&lt;76,F19=1,H19=20),$K$25," ")))</f>
        <v xml:space="preserve"> </v>
      </c>
      <c r="AL19" s="28" t="str">
        <f>IF(AND(L19&gt;0,[2]EvaluaciónRiesgoCorrup!$F$11&gt;50,[2]EvaluaciónRiesgoCorrup!$F$11&lt;76,F19=2,H19=5),$H$25,IF(AND(L19&gt;0,[2]EvaluaciónRiesgoCorrup!$F$11&gt;50,[2]EvaluaciónRiesgoCorrup!$F$11&lt;76,F19=2,H19=10),$J$25,IF(AND(L19&gt;0,[2]EvaluaciónRiesgoCorrup!$F$11&gt;50,[2]EvaluaciónRiesgoCorrup!$F$11&lt;76,F19=2,H19=20),$K$25," ")))</f>
        <v xml:space="preserve"> </v>
      </c>
      <c r="AM19" s="28" t="str">
        <f>IF(AND(L19&gt;0,[2]EvaluaciónRiesgoCorrup!$F$11&gt;50,[2]EvaluaciónRiesgoCorrup!$F$11&lt;76,F19=3,H19=5),$H$26,IF(AND(L19&gt;0,[2]EvaluaciónRiesgoCorrup!$F$11&gt;50,[2]EvaluaciónRiesgoCorrup!$F$11&lt;76,F19=3,H19=10),$J$26,IF(AND(L19&gt;0,[2]EvaluaciónRiesgoCorrup!$F$11&gt;50,[2]EvaluaciónRiesgoCorrup!$F$11&lt;76,F19=3,H19=20),$K$26," ")))</f>
        <v xml:space="preserve"> </v>
      </c>
      <c r="AN19" s="28" t="str">
        <f>IF(AND(L19&gt;0,[2]EvaluaciónRiesgoCorrup!$F$11&gt;50,[2]EvaluaciónRiesgoCorrup!$F$11&lt;76,F19=4,H19=5),$H$27,IF(AND(L19&gt;0,[2]EvaluaciónRiesgoCorrup!$F$11&gt;50,[2]EvaluaciónRiesgoCorrup!$F$11&lt;76,F19=4,H19=10),$J$27,IF(AND(L19&gt;0,[2]EvaluaciónRiesgoCorrup!$F$11&gt;50,[2]EvaluaciónRiesgoCorrup!$F$11&lt;76,F19=4,H19=20),$K$27," ")))</f>
        <v xml:space="preserve"> </v>
      </c>
      <c r="AO19" s="28" t="str">
        <f>IF(AND(L19&gt;0,[2]EvaluaciónRiesgoCorrup!$F$11&gt;50,[2]EvaluaciónRiesgoCorrup!$F$11&lt;76,F19=5,H19=5),$H$28,IF(AND(L19&gt;0,[2]EvaluaciónRiesgoCorrup!$F$11&gt;50,[2]EvaluaciónRiesgoCorrup!$F$11&lt;76,F19=5,H19=10),$J$28,IF(AND(L19&gt;0,[2]EvaluaciónRiesgoCorrup!$F$11&gt;50,[2]EvaluaciónRiesgoCorrup!$F$11&lt;76,F19=5,H19=20),$K$28," ")))</f>
        <v xml:space="preserve"> </v>
      </c>
      <c r="AR19" s="28" t="str">
        <f>IF(AND(L19&gt;0,[2]EvaluaciónRiesgoCorrup!$F$11&lt;51,F19=1,H19=5),$H$25,IF(AND(L19&gt;0,[2]EvaluaciónRiesgoCorrup!$F$11&lt;51,F19=1,H19=10),$J$25,IF(AND(L19&gt;0,[2]EvaluaciónRiesgoCorrup!$F$11&lt;51,F19=1,H19=20),K$25," ")))</f>
        <v xml:space="preserve"> </v>
      </c>
      <c r="AS19" s="28" t="str">
        <f>IF(AND(L19&gt;0,[2]EvaluaciónRiesgoCorrup!$F$11&lt;51,F19=2,H19=5),$H$26,IF(AND(L19&gt;0,[2]EvaluaciónRiesgoCorrup!$F$11&lt;51,F19=2,H19=10),$J$26,IF(AND(L19&gt;0,[2]EvaluaciónRiesgoCorrup!$F$11&lt;51,F19=2,H19=20),K$26," ")))</f>
        <v xml:space="preserve"> </v>
      </c>
      <c r="AT19" s="28" t="str">
        <f>IF(AND(L19&gt;0,[2]EvaluaciónRiesgoCorrup!$F$11&lt;51,F19=3,H19=5),$H$27,IF(AND(L19&gt;0,[2]EvaluaciónRiesgoCorrup!$F$11&lt;51,F19=3,H19=10),$J$27,IF(AND(L19&gt;0,[2]EvaluaciónRiesgoCorrup!$F$11&lt;51,F19=3,H19=20),K$27," ")))</f>
        <v xml:space="preserve"> </v>
      </c>
      <c r="AU19" s="28" t="str">
        <f>IF(AND(L19&gt;0,[2]EvaluaciónRiesgoCorrup!$F$11&lt;51,F19=4,H19=5),$H$28,IF(AND(L19&gt;0,[2]EvaluaciónRiesgoCorrup!$F$11&lt;51,F19=4,H19=10),$J$28,IF(AND(L19&gt;0,[2]EvaluaciónRiesgoCorrup!$F$11&lt;51,F19=4,H19=20),K$28," ")))</f>
        <v xml:space="preserve"> </v>
      </c>
      <c r="AV19" s="28" t="str">
        <f>IF(AND(L19&gt;0,[2]EvaluaciónRiesgoCorrup!$F$11&lt;51,F19=5,H19=5),$H$29,IF(AND(L19&gt;0,[2]EvaluaciónRiesgoCorrup!$F$11&lt;51,F19=5,H19=10),$J$29,IF(AND(L19&gt;0,[2]EvaluaciónRiesgoCorrup!$F$11&lt;51,F19=5,H19=20),K$29," ")))</f>
        <v xml:space="preserve"> </v>
      </c>
      <c r="AZ19" s="28" t="str">
        <f>IF(AND(M19&gt;0,[2]EvaluaciónRiesgoCorrup!$F$11&gt;75,F19=1,H19=5),$H$25,IF(AND(M19&gt;0,[2]EvaluaciónRiesgoCorrup!$F$11&gt;75,F19=1,H19=10),$H$25,IF(AND(M19&gt;0,[2]EvaluaciónRiesgoCorrup!$F$11&gt;75,F19=1,H19=20),$H$25," ")))</f>
        <v xml:space="preserve"> </v>
      </c>
      <c r="BA19" s="28" t="str">
        <f>IF(AND(M19&gt;0,[2]EvaluaciónRiesgoCorrup!$F$11&gt;75,F19=2,H19=5),$H$26,IF(AND(M19&gt;0,[2]EvaluaciónRiesgoCorrup!$F$11&gt;75,F19=2,H19=10),$H$26,IF(AND(M19&gt;0,[2]EvaluaciónRiesgoCorrup!$F$11&gt;75,F19=2,H19=20),$H$26," ")))</f>
        <v xml:space="preserve"> </v>
      </c>
      <c r="BB19" s="28" t="str">
        <f>IF(AND(M19&gt;0,[2]EvaluaciónRiesgoCorrup!$F$11&gt;75,F19=3,H19=5),$H$27,IF(AND(M19&gt;0,[2]EvaluaciónRiesgoCorrup!$F$11&gt;75,F19=3,H19=10),$H$27,IF(AND(M19&gt;0,[2]EvaluaciónRiesgoCorrup!$F$11&gt;75,F19=3,H19=20),$H$27," ")))</f>
        <v xml:space="preserve"> </v>
      </c>
      <c r="BC19" s="28" t="str">
        <f>IF(AND(M19&gt;0,[2]EvaluaciónRiesgoCorrup!$F$11&gt;75,F19=4,H19=5),$H$28,IF(AND(M19&gt;0,[2]EvaluaciónRiesgoCorrup!$F$11&gt;75,F19=4,H19=10),$H$28,IF(AND(M19&gt;0,[2]EvaluaciónRiesgoCorrup!$F$11&gt;75,F19=4,H19=20),$H$28," ")))</f>
        <v xml:space="preserve"> </v>
      </c>
      <c r="BD19" s="28" t="str">
        <f>IF(AND(M19&gt;0,[2]EvaluaciónRiesgoCorrup!$F$11&gt;75,F19=5,H19=5),$H$29,IF(AND(M19&gt;0,[2]EvaluaciónRiesgoCorrup!$F$11&gt;75,F19=5,H19=10),$H$29,IF(AND(M19&gt;0,[2]EvaluaciónRiesgoCorrup!$F$11&gt;75,F19=5,H19=20),$H$29," ")))</f>
        <v xml:space="preserve"> </v>
      </c>
      <c r="BG19" s="28" t="str">
        <f>IF(AND(M19&gt;0,[2]EvaluaciónRiesgoCorrup!$F$11&gt;50,[2]EvaluaciónRiesgoCorrup!$F$11&lt;76,F19=1,H19=5),$H$25,IF(AND(M19&gt;0,[2]EvaluaciónRiesgoCorrup!$F$11&gt;50,[2]EvaluaciónRiesgoCorrup!$F$11&lt;76,F19=1,H19=10),$H$25,IF(AND(M19&gt;0,[2]EvaluaciónRiesgoCorrup!$F$11&gt;50,[2]EvaluaciónRiesgoCorrup!$F$11&lt;76,F19=1,H19=20),$J$25," ")))</f>
        <v xml:space="preserve"> </v>
      </c>
      <c r="BH19" s="28" t="str">
        <f>IF(AND(M19&gt;0,[2]EvaluaciónRiesgoCorrup!$F$11&gt;50,[2]EvaluaciónRiesgoCorrup!$F$11&lt;76,F19=2,H19=5),$H$26,IF(AND(M19&gt;0,[2]EvaluaciónRiesgoCorrup!$F$11&gt;50,[2]EvaluaciónRiesgoCorrup!$F$11&lt;76,F19=2,H19=10),$H$26,IF(AND(M19&gt;0,[2]EvaluaciónRiesgoCorrup!$F$11&gt;50,[2]EvaluaciónRiesgoCorrup!$F$11&lt;76,F19=2,H19=20),$J$26," ")))</f>
        <v xml:space="preserve"> </v>
      </c>
      <c r="BI19" s="28" t="str">
        <f>IF(AND(M19&gt;0,[2]EvaluaciónRiesgoCorrup!$F$11&gt;50,[2]EvaluaciónRiesgoCorrup!$F$11&lt;76,F19=3,H19=5),$H$27,IF(AND(M19&gt;0,[2]EvaluaciónRiesgoCorrup!$F$11&gt;50,[2]EvaluaciónRiesgoCorrup!$F$11&lt;76,F19=3,H19=10),$H$27,IF(AND(M19&gt;0,[2]EvaluaciónRiesgoCorrup!$F$11&gt;50,[2]EvaluaciónRiesgoCorrup!$F$11&lt;76,F19=3,H19=20),$J$27," ")))</f>
        <v xml:space="preserve"> </v>
      </c>
      <c r="BJ19" s="28" t="str">
        <f>IF(AND(M19&gt;0,[2]EvaluaciónRiesgoCorrup!$F$11&gt;50,[2]EvaluaciónRiesgoCorrup!$F$11&lt;76,F19=4,H19=5),$H$28,IF(AND(M19&gt;0,[2]EvaluaciónRiesgoCorrup!$F$11&gt;50,[2]EvaluaciónRiesgoCorrup!$F$11&lt;76,F19=4,H19=10),$H$28,IF(AND(M19&gt;0,[2]EvaluaciónRiesgoCorrup!$F$11&gt;50,[2]EvaluaciónRiesgoCorrup!$F$11&lt;76,F19=4,H19=20),$J$28," ")))</f>
        <v xml:space="preserve"> </v>
      </c>
      <c r="BK19" s="28" t="str">
        <f>IF(AND(M19&gt;0,[2]EvaluaciónRiesgoCorrup!$F$11&gt;50,[2]EvaluaciónRiesgoCorrup!$F$11&lt;76,F19=5,H19=5),$H$29,IF(AND(M19&gt;0,[2]EvaluaciónRiesgoCorrup!$F$11&gt;50,[2]EvaluaciónRiesgoCorrup!$F$11&lt;76,F19=5,H19=10),$H$29,IF(AND(M19&gt;0,[2]EvaluaciónRiesgoCorrup!$F$11&gt;50,[2]EvaluaciónRiesgoCorrup!$F$11&lt;76,F19=5,H19=20),$J$29," ")))</f>
        <v xml:space="preserve"> </v>
      </c>
      <c r="BN19" s="28" t="str">
        <f>IF(AND(M19&gt;0,[2]EvaluaciónRiesgoCorrup!$F$11&lt;51,F19=1,H19=5),$H$25,IF(AND(M19&gt;0,[2]EvaluaciónRiesgoCorrup!$F$11&lt;51,F19=1,H19=10),$J$25,IF(AND(M19&gt;0,[2]EvaluaciónRiesgoCorrup!$F$11&lt;51,F19=1,H19=20),$K$25," ")))</f>
        <v xml:space="preserve"> </v>
      </c>
      <c r="BO19" s="28" t="str">
        <f>IF(AND(M19&gt;0,[2]EvaluaciónRiesgoCorrup!$F$11&lt;51,F19=2,H19=5),$H$26,IF(AND(M19&gt;0,[2]EvaluaciónRiesgoCorrup!$F$11&lt;51,F19=2,H19=10),$J$26,IF(AND(M19&gt;0,[2]EvaluaciónRiesgoCorrup!$F$11&lt;51,F19=2,H19=20),$K$26," ")))</f>
        <v xml:space="preserve"> </v>
      </c>
      <c r="BP19" s="28" t="str">
        <f>IF(AND(M19&gt;0,[2]EvaluaciónRiesgoCorrup!$F$11&lt;51,F19=3,H19=5),$H$27,IF(AND(M19&gt;0,[2]EvaluaciónRiesgoCorrup!$F$11&lt;51,F19=3,H19=10),$J$27,IF(AND(M19&gt;0,[2]EvaluaciónRiesgoCorrup!$F$11&lt;51,F19=3,H19=20),$K$27," ")))</f>
        <v xml:space="preserve"> </v>
      </c>
      <c r="BQ19" s="28" t="str">
        <f>IF(AND(M19&gt;0,[2]EvaluaciónRiesgoCorrup!$F$11&lt;51,F19=4,H19=5),$H$28,IF(AND(M19&gt;0,[2]EvaluaciónRiesgoCorrup!$F$11&lt;51,F19=4,H19=10),$J$28,IF(AND(M19&gt;0,[2]EvaluaciónRiesgoCorrup!$F$11&lt;51,F19=4,H19=20),$K$28," ")))</f>
        <v xml:space="preserve"> </v>
      </c>
      <c r="BR19" s="28" t="str">
        <f>IF(AND(M19&gt;0,[2]EvaluaciónRiesgoCorrup!$F$11&lt;51,F19=5,H19=5),$H$29,IF(AND(M19&gt;0,[2]EvaluaciónRiesgoCorrup!$F$11&lt;51,F19=5,H19=10),$J$29,IF(AND(M19&gt;0,[2]EvaluaciónRiesgoCorrup!$F$11&lt;51,F19=5,H19=20),$K$29," ")))</f>
        <v xml:space="preserve"> </v>
      </c>
    </row>
    <row r="20" spans="1:70" x14ac:dyDescent="0.35">
      <c r="A20" s="55"/>
      <c r="B20" s="22"/>
      <c r="C20" s="408"/>
      <c r="D20" s="22"/>
      <c r="E20" s="99"/>
    </row>
    <row r="21" spans="1:70" x14ac:dyDescent="0.35">
      <c r="A21" s="28"/>
      <c r="B21" s="30"/>
      <c r="C21" s="410"/>
      <c r="D21" s="30"/>
      <c r="E21" s="423"/>
    </row>
    <row r="22" spans="1:70" ht="14.5" thickBot="1" x14ac:dyDescent="0.4">
      <c r="A22" s="28"/>
      <c r="B22" s="30"/>
      <c r="C22" s="410"/>
      <c r="D22" s="30"/>
      <c r="E22" s="423"/>
      <c r="H22" s="32"/>
      <c r="I22" s="424"/>
      <c r="J22" s="32"/>
    </row>
    <row r="23" spans="1:70" ht="14.5" thickBot="1" x14ac:dyDescent="0.4">
      <c r="A23" s="6"/>
      <c r="B23" s="33"/>
      <c r="C23" s="423"/>
      <c r="D23" s="33"/>
      <c r="E23" s="423"/>
      <c r="F23" s="1019" t="s">
        <v>26</v>
      </c>
      <c r="G23" s="84"/>
      <c r="H23" s="1021" t="s">
        <v>10</v>
      </c>
      <c r="I23" s="1021"/>
      <c r="J23" s="1021"/>
      <c r="K23" s="1022"/>
      <c r="L23" s="2"/>
      <c r="Q23" s="5"/>
      <c r="S23" s="2"/>
    </row>
    <row r="24" spans="1:70" ht="32.25" customHeight="1" thickBot="1" x14ac:dyDescent="0.4">
      <c r="A24" s="5"/>
      <c r="B24" s="34" t="s">
        <v>42</v>
      </c>
      <c r="C24" s="411"/>
      <c r="D24" s="34"/>
      <c r="E24" s="411"/>
      <c r="F24" s="1020"/>
      <c r="G24" s="555"/>
      <c r="H24" s="35" t="s">
        <v>43</v>
      </c>
      <c r="I24" s="412"/>
      <c r="J24" s="36" t="s">
        <v>44</v>
      </c>
      <c r="K24" s="35" t="s">
        <v>45</v>
      </c>
      <c r="L24" s="2"/>
      <c r="Q24" s="5"/>
      <c r="S24" s="2"/>
    </row>
    <row r="25" spans="1:70" ht="14.5" thickBot="1" x14ac:dyDescent="0.4">
      <c r="B25" s="5" t="s">
        <v>46</v>
      </c>
      <c r="C25" s="402"/>
      <c r="F25" s="37" t="s">
        <v>47</v>
      </c>
      <c r="G25" s="413"/>
      <c r="H25" s="38" t="s">
        <v>48</v>
      </c>
      <c r="I25" s="414"/>
      <c r="J25" s="38" t="s">
        <v>48</v>
      </c>
      <c r="K25" s="39" t="s">
        <v>49</v>
      </c>
      <c r="L25" s="2"/>
      <c r="Q25" s="5"/>
      <c r="S25" s="2"/>
    </row>
    <row r="26" spans="1:70" ht="14.5" thickBot="1" x14ac:dyDescent="0.4">
      <c r="F26" s="37" t="s">
        <v>50</v>
      </c>
      <c r="G26" s="413"/>
      <c r="H26" s="38" t="s">
        <v>48</v>
      </c>
      <c r="I26" s="414"/>
      <c r="J26" s="39" t="s">
        <v>49</v>
      </c>
      <c r="K26" s="40" t="s">
        <v>51</v>
      </c>
      <c r="L26" s="2"/>
      <c r="Q26" s="5"/>
      <c r="S26" s="2"/>
    </row>
    <row r="27" spans="1:70" ht="14.5" thickBot="1" x14ac:dyDescent="0.4">
      <c r="F27" s="37" t="s">
        <v>52</v>
      </c>
      <c r="G27" s="413"/>
      <c r="H27" s="39" t="s">
        <v>49</v>
      </c>
      <c r="I27" s="415"/>
      <c r="J27" s="40" t="s">
        <v>51</v>
      </c>
      <c r="K27" s="41" t="s">
        <v>53</v>
      </c>
      <c r="L27" s="2"/>
      <c r="Q27" s="5"/>
      <c r="S27" s="2"/>
    </row>
    <row r="28" spans="1:70" ht="14.5" thickBot="1" x14ac:dyDescent="0.4">
      <c r="F28" s="37" t="s">
        <v>54</v>
      </c>
      <c r="G28" s="413"/>
      <c r="H28" s="39" t="s">
        <v>49</v>
      </c>
      <c r="I28" s="415"/>
      <c r="J28" s="40" t="s">
        <v>51</v>
      </c>
      <c r="K28" s="41" t="s">
        <v>53</v>
      </c>
      <c r="L28" s="2"/>
      <c r="Q28" s="5"/>
      <c r="S28" s="2"/>
    </row>
    <row r="29" spans="1:70" ht="14.5" thickBot="1" x14ac:dyDescent="0.4">
      <c r="F29" s="37" t="s">
        <v>55</v>
      </c>
      <c r="G29" s="413"/>
      <c r="H29" s="39" t="s">
        <v>49</v>
      </c>
      <c r="I29" s="415"/>
      <c r="J29" s="40" t="s">
        <v>51</v>
      </c>
      <c r="K29" s="41" t="s">
        <v>53</v>
      </c>
      <c r="L29" s="2"/>
      <c r="Q29" s="5"/>
      <c r="S29" s="2"/>
    </row>
    <row r="30" spans="1:70" x14ac:dyDescent="0.35">
      <c r="F30" s="2"/>
      <c r="G30" s="399"/>
      <c r="H30" s="2"/>
      <c r="I30" s="399"/>
      <c r="J30" s="2"/>
      <c r="K30" s="5"/>
      <c r="M30" s="5"/>
    </row>
    <row r="31" spans="1:70" x14ac:dyDescent="0.35">
      <c r="F31" s="42" t="s">
        <v>56</v>
      </c>
      <c r="G31" s="416"/>
      <c r="H31" s="2"/>
      <c r="I31" s="399"/>
      <c r="J31" s="2"/>
      <c r="K31" s="5"/>
      <c r="M31" s="5"/>
      <c r="N31" s="5"/>
      <c r="O31" s="402"/>
      <c r="P31" s="5"/>
    </row>
    <row r="32" spans="1:70" x14ac:dyDescent="0.35">
      <c r="F32" s="43" t="s">
        <v>57</v>
      </c>
      <c r="G32" s="417"/>
      <c r="H32" s="2"/>
      <c r="I32" s="399"/>
      <c r="J32" s="2"/>
      <c r="K32" s="5"/>
      <c r="M32" s="5"/>
      <c r="N32" s="5"/>
      <c r="O32" s="402"/>
      <c r="P32" s="5"/>
    </row>
    <row r="33" spans="6:16" x14ac:dyDescent="0.35">
      <c r="F33" s="44" t="s">
        <v>58</v>
      </c>
      <c r="G33" s="418"/>
      <c r="H33" s="2"/>
      <c r="I33" s="399"/>
      <c r="J33" s="2"/>
      <c r="K33" s="5"/>
      <c r="M33" s="5"/>
      <c r="N33" s="5"/>
      <c r="O33" s="402"/>
      <c r="P33" s="5"/>
    </row>
    <row r="34" spans="6:16" x14ac:dyDescent="0.35">
      <c r="F34" s="45" t="s">
        <v>59</v>
      </c>
      <c r="G34" s="419"/>
      <c r="H34" s="2"/>
      <c r="I34" s="399"/>
      <c r="J34" s="2"/>
      <c r="K34" s="5"/>
      <c r="M34" s="5"/>
      <c r="N34" s="5"/>
      <c r="O34" s="402"/>
      <c r="P34" s="5"/>
    </row>
  </sheetData>
  <mergeCells count="36">
    <mergeCell ref="T15:T16"/>
    <mergeCell ref="U15:U16"/>
    <mergeCell ref="V15:V16"/>
    <mergeCell ref="F23:F24"/>
    <mergeCell ref="H23:K23"/>
    <mergeCell ref="P15:R15"/>
    <mergeCell ref="L17:M17"/>
    <mergeCell ref="L18:M18"/>
    <mergeCell ref="A12:D12"/>
    <mergeCell ref="F12:V12"/>
    <mergeCell ref="AG13:AY13"/>
    <mergeCell ref="BA13:BT13"/>
    <mergeCell ref="A14:D14"/>
    <mergeCell ref="F14:H14"/>
    <mergeCell ref="K14:K16"/>
    <mergeCell ref="L14:N14"/>
    <mergeCell ref="P14:R14"/>
    <mergeCell ref="S14:V14"/>
    <mergeCell ref="A15:A16"/>
    <mergeCell ref="B15:B16"/>
    <mergeCell ref="D15:D16"/>
    <mergeCell ref="F15:H15"/>
    <mergeCell ref="L15:N15"/>
    <mergeCell ref="S15:S16"/>
    <mergeCell ref="A6:D6"/>
    <mergeCell ref="F6:V6"/>
    <mergeCell ref="A8:D8"/>
    <mergeCell ref="F8:V8"/>
    <mergeCell ref="A10:D10"/>
    <mergeCell ref="F10:V10"/>
    <mergeCell ref="A1:D4"/>
    <mergeCell ref="F1:T4"/>
    <mergeCell ref="U1:V1"/>
    <mergeCell ref="U2:V2"/>
    <mergeCell ref="U3:V3"/>
    <mergeCell ref="U4:V4"/>
  </mergeCells>
  <conditionalFormatting sqref="J17:J19 N17:O19">
    <cfRule type="containsText" dxfId="203" priority="1" operator="containsText" text="E">
      <formula>NOT(ISERROR(SEARCH("E",J17)))</formula>
    </cfRule>
    <cfRule type="containsText" dxfId="202" priority="2" operator="containsText" text="M">
      <formula>NOT(ISERROR(SEARCH("M",J17)))</formula>
    </cfRule>
    <cfRule type="containsText" dxfId="201" priority="3" operator="containsText" text="A">
      <formula>NOT(ISERROR(SEARCH("A",J17)))</formula>
    </cfRule>
    <cfRule type="containsText" dxfId="200" priority="4" operator="containsText" text="B">
      <formula>NOT(ISERROR(SEARCH("B",J17)))</formula>
    </cfRule>
  </conditionalFormatting>
  <dataValidations disablePrompts="1" count="2">
    <dataValidation type="list" allowBlank="1" showInputMessage="1" showErrorMessage="1" sqref="L20:O20">
      <formula1>#REF!</formula1>
    </dataValidation>
    <dataValidation type="list" allowBlank="1" showInputMessage="1" showErrorMessage="1" sqref="P20:Q20">
      <formula1>$J$31:$J$34</formula1>
    </dataValidation>
  </dataValidations>
  <pageMargins left="0.7" right="0.7" top="0.75" bottom="0.75" header="0.3" footer="0.3"/>
  <pageSetup scale="1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
  <sheetViews>
    <sheetView showGridLines="0" view="pageBreakPreview" topLeftCell="O18" zoomScale="90" zoomScaleNormal="70" zoomScaleSheetLayoutView="90" workbookViewId="0">
      <selection activeCell="T19" sqref="T19"/>
    </sheetView>
  </sheetViews>
  <sheetFormatPr baseColWidth="10" defaultColWidth="11.453125" defaultRowHeight="14" x14ac:dyDescent="0.35"/>
  <cols>
    <col min="1" max="1" width="41.26953125" style="2" customWidth="1"/>
    <col min="2" max="2" width="40.453125" style="2" customWidth="1"/>
    <col min="3" max="3" width="40.453125" style="399" customWidth="1"/>
    <col min="4" max="4" width="40.453125" style="2" customWidth="1"/>
    <col min="5" max="5" width="40.453125" style="399" customWidth="1"/>
    <col min="6" max="6" width="27" style="5" customWidth="1"/>
    <col min="7" max="7" width="27" style="402" customWidth="1"/>
    <col min="8" max="8" width="19" style="5" customWidth="1"/>
    <col min="9" max="9" width="19" style="402" customWidth="1"/>
    <col min="10" max="10" width="26.7265625" style="5" customWidth="1"/>
    <col min="11" max="11" width="29.7265625" style="2" customWidth="1"/>
    <col min="12" max="12" width="29.7265625" style="399" customWidth="1"/>
    <col min="13" max="13" width="20.81640625" style="5" customWidth="1"/>
    <col min="14" max="14" width="18.54296875" style="2" customWidth="1"/>
    <col min="15" max="15" width="21.7265625" style="2" customWidth="1"/>
    <col min="16" max="16" width="21.7265625" style="399" customWidth="1"/>
    <col min="17" max="17" width="19.81640625" style="2" customWidth="1"/>
    <col min="18" max="18" width="53" style="2" customWidth="1"/>
    <col min="19" max="19" width="24.54296875" style="2" customWidth="1"/>
    <col min="20" max="20" width="36.453125" style="5" customWidth="1"/>
    <col min="21" max="21" width="53.453125" style="2" customWidth="1"/>
    <col min="22" max="24" width="30.453125" style="2" customWidth="1"/>
    <col min="25" max="25" width="36" style="2" hidden="1" customWidth="1"/>
    <col min="26" max="26" width="0" style="2" hidden="1" customWidth="1"/>
    <col min="27" max="73" width="11.453125" style="2" hidden="1" customWidth="1"/>
    <col min="74" max="74" width="11.453125" style="2" customWidth="1"/>
    <col min="75" max="16384" width="11.453125" style="2"/>
  </cols>
  <sheetData>
    <row r="1" spans="1:73"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2"/>
      <c r="U1" s="1053"/>
      <c r="V1" s="1060" t="s">
        <v>1</v>
      </c>
      <c r="W1" s="1061"/>
      <c r="X1" s="1"/>
      <c r="Y1" s="1"/>
    </row>
    <row r="2" spans="1:73" ht="22.5" customHeight="1" x14ac:dyDescent="0.35">
      <c r="A2" s="1050"/>
      <c r="B2" s="1050"/>
      <c r="C2" s="1050"/>
      <c r="D2" s="1050"/>
      <c r="E2" s="80"/>
      <c r="F2" s="1054"/>
      <c r="G2" s="1055"/>
      <c r="H2" s="1055"/>
      <c r="I2" s="1055"/>
      <c r="J2" s="1055"/>
      <c r="K2" s="1055"/>
      <c r="L2" s="1055"/>
      <c r="M2" s="1055"/>
      <c r="N2" s="1055"/>
      <c r="O2" s="1055"/>
      <c r="P2" s="1055"/>
      <c r="Q2" s="1055"/>
      <c r="R2" s="1055"/>
      <c r="S2" s="1055"/>
      <c r="T2" s="1055"/>
      <c r="U2" s="1056"/>
      <c r="V2" s="1060" t="s">
        <v>372</v>
      </c>
      <c r="W2" s="1061"/>
      <c r="X2" s="1"/>
      <c r="Y2" s="1"/>
    </row>
    <row r="3" spans="1:73" ht="21" customHeight="1" x14ac:dyDescent="0.35">
      <c r="A3" s="1050"/>
      <c r="B3" s="1050"/>
      <c r="C3" s="1050"/>
      <c r="D3" s="1050"/>
      <c r="E3" s="80"/>
      <c r="F3" s="1054"/>
      <c r="G3" s="1055"/>
      <c r="H3" s="1055"/>
      <c r="I3" s="1055"/>
      <c r="J3" s="1055"/>
      <c r="K3" s="1055"/>
      <c r="L3" s="1055"/>
      <c r="M3" s="1055"/>
      <c r="N3" s="1055"/>
      <c r="O3" s="1055"/>
      <c r="P3" s="1055"/>
      <c r="Q3" s="1055"/>
      <c r="R3" s="1055"/>
      <c r="S3" s="1055"/>
      <c r="T3" s="1055"/>
      <c r="U3" s="1056"/>
      <c r="V3" s="1060" t="s">
        <v>373</v>
      </c>
      <c r="W3" s="1061"/>
      <c r="X3" s="1"/>
      <c r="Y3" s="1"/>
    </row>
    <row r="4" spans="1:73" ht="20.25" customHeight="1" x14ac:dyDescent="0.35">
      <c r="A4" s="1050"/>
      <c r="B4" s="1050"/>
      <c r="C4" s="1050"/>
      <c r="D4" s="1050"/>
      <c r="E4" s="81"/>
      <c r="F4" s="1057"/>
      <c r="G4" s="1058"/>
      <c r="H4" s="1058"/>
      <c r="I4" s="1058"/>
      <c r="J4" s="1058"/>
      <c r="K4" s="1058"/>
      <c r="L4" s="1058"/>
      <c r="M4" s="1058"/>
      <c r="N4" s="1058"/>
      <c r="O4" s="1058"/>
      <c r="P4" s="1058"/>
      <c r="Q4" s="1058"/>
      <c r="R4" s="1058"/>
      <c r="S4" s="1058"/>
      <c r="T4" s="1058"/>
      <c r="U4" s="1059"/>
      <c r="V4" s="1060" t="s">
        <v>2</v>
      </c>
      <c r="W4" s="1061"/>
      <c r="X4" s="1"/>
      <c r="Y4" s="1"/>
    </row>
    <row r="5" spans="1:73" ht="8.25" customHeight="1" x14ac:dyDescent="0.35">
      <c r="B5" s="3"/>
      <c r="C5" s="400"/>
      <c r="D5" s="3"/>
      <c r="E5" s="400"/>
      <c r="F5" s="4"/>
      <c r="G5" s="401"/>
      <c r="H5" s="4"/>
      <c r="I5" s="401"/>
      <c r="J5" s="4"/>
      <c r="K5" s="4"/>
      <c r="L5" s="401"/>
      <c r="M5" s="4"/>
      <c r="N5" s="4"/>
      <c r="O5" s="4"/>
      <c r="P5" s="401"/>
      <c r="Q5" s="4"/>
      <c r="R5" s="4"/>
      <c r="X5" s="6"/>
      <c r="Y5" s="6"/>
    </row>
    <row r="6" spans="1:73" x14ac:dyDescent="0.35">
      <c r="A6" s="1030" t="s">
        <v>3</v>
      </c>
      <c r="B6" s="1030"/>
      <c r="C6" s="1030"/>
      <c r="D6" s="1030"/>
      <c r="E6" s="82"/>
      <c r="F6" s="1044" t="str">
        <f>[3]IdentRiesgo!B2</f>
        <v>Generación de Datos e Información Hidrometeorológica y Ambiental para la toma de decisiones</v>
      </c>
      <c r="G6" s="1045"/>
      <c r="H6" s="1045"/>
      <c r="I6" s="1045"/>
      <c r="J6" s="1045"/>
      <c r="K6" s="1045"/>
      <c r="L6" s="1045"/>
      <c r="M6" s="1045"/>
      <c r="N6" s="1045"/>
      <c r="O6" s="1045"/>
      <c r="P6" s="1045"/>
      <c r="Q6" s="1045"/>
      <c r="R6" s="1045"/>
      <c r="S6" s="1045"/>
      <c r="T6" s="1045"/>
      <c r="U6" s="1045"/>
      <c r="V6" s="1045"/>
      <c r="W6" s="1046"/>
      <c r="X6" s="6"/>
      <c r="Y6" s="6"/>
    </row>
    <row r="7" spans="1:73" ht="6.75" customHeight="1" x14ac:dyDescent="0.35">
      <c r="B7" s="3"/>
      <c r="C7" s="400"/>
      <c r="D7" s="3"/>
      <c r="E7" s="400"/>
      <c r="F7" s="7"/>
      <c r="G7" s="405"/>
      <c r="H7" s="7"/>
      <c r="I7" s="405"/>
      <c r="J7" s="7"/>
      <c r="K7" s="7"/>
      <c r="L7" s="405"/>
      <c r="M7" s="7"/>
      <c r="N7" s="7"/>
      <c r="O7" s="7"/>
      <c r="P7" s="405"/>
      <c r="Q7" s="7"/>
      <c r="R7" s="7"/>
      <c r="S7" s="8"/>
      <c r="T7" s="8"/>
      <c r="U7" s="8"/>
      <c r="V7" s="8"/>
      <c r="W7" s="8"/>
      <c r="X7" s="6"/>
      <c r="Y7" s="6"/>
    </row>
    <row r="8" spans="1:73" ht="39.75" customHeight="1" x14ac:dyDescent="0.35">
      <c r="A8" s="1030" t="s">
        <v>4</v>
      </c>
      <c r="B8" s="1030"/>
      <c r="C8" s="1030"/>
      <c r="D8" s="1030"/>
      <c r="E8" s="82"/>
      <c r="F8" s="1047" t="str">
        <f>[3]IdentRiesgo!B3</f>
        <v>Generar datos e información hidrometeorologica y ambiental que apoyen la investigación y el conocimiento como soporte para la toma de decisiones</v>
      </c>
      <c r="G8" s="1048"/>
      <c r="H8" s="1048"/>
      <c r="I8" s="1048"/>
      <c r="J8" s="1048"/>
      <c r="K8" s="1048"/>
      <c r="L8" s="1048"/>
      <c r="M8" s="1048"/>
      <c r="N8" s="1048"/>
      <c r="O8" s="1048"/>
      <c r="P8" s="1048"/>
      <c r="Q8" s="1048"/>
      <c r="R8" s="1048"/>
      <c r="S8" s="1048"/>
      <c r="T8" s="1048"/>
      <c r="U8" s="1048"/>
      <c r="V8" s="1048"/>
      <c r="W8" s="1049"/>
      <c r="X8" s="9"/>
      <c r="Y8" s="9"/>
    </row>
    <row r="9" spans="1:73" ht="6.75" customHeight="1" x14ac:dyDescent="0.35">
      <c r="B9" s="10"/>
      <c r="C9" s="403"/>
      <c r="D9" s="10"/>
      <c r="E9" s="403"/>
      <c r="F9" s="11"/>
      <c r="G9" s="406"/>
      <c r="H9" s="11"/>
      <c r="I9" s="406"/>
      <c r="J9" s="11"/>
      <c r="K9" s="11"/>
      <c r="L9" s="406"/>
      <c r="M9" s="11"/>
      <c r="N9" s="11"/>
      <c r="O9" s="11"/>
      <c r="P9" s="406"/>
      <c r="Q9" s="11"/>
      <c r="R9" s="11"/>
      <c r="S9" s="8"/>
      <c r="T9" s="8"/>
      <c r="U9" s="8"/>
      <c r="V9" s="8"/>
      <c r="W9" s="8"/>
      <c r="X9" s="6"/>
      <c r="Y9" s="6"/>
    </row>
    <row r="10" spans="1:73" x14ac:dyDescent="0.35">
      <c r="A10" s="1030" t="s">
        <v>5</v>
      </c>
      <c r="B10" s="1030"/>
      <c r="C10" s="1030"/>
      <c r="D10" s="1030"/>
      <c r="E10" s="82"/>
      <c r="F10" s="1031" t="s">
        <v>78</v>
      </c>
      <c r="G10" s="1032"/>
      <c r="H10" s="1032"/>
      <c r="I10" s="1032"/>
      <c r="J10" s="1032"/>
      <c r="K10" s="1032"/>
      <c r="L10" s="1032"/>
      <c r="M10" s="1032"/>
      <c r="N10" s="1032"/>
      <c r="O10" s="1032"/>
      <c r="P10" s="1032"/>
      <c r="Q10" s="1032"/>
      <c r="R10" s="1032"/>
      <c r="S10" s="1032"/>
      <c r="T10" s="1032"/>
      <c r="U10" s="1032"/>
      <c r="V10" s="1032"/>
      <c r="W10" s="1033"/>
      <c r="X10" s="12"/>
      <c r="Y10" s="12"/>
    </row>
    <row r="11" spans="1:73" ht="5.25" customHeight="1" x14ac:dyDescent="0.35">
      <c r="B11" s="3"/>
      <c r="C11" s="400"/>
      <c r="D11" s="3"/>
      <c r="E11" s="400"/>
      <c r="F11" s="13"/>
      <c r="G11" s="425"/>
      <c r="H11" s="13"/>
      <c r="I11" s="425"/>
      <c r="J11" s="13"/>
      <c r="K11" s="13"/>
      <c r="L11" s="425"/>
      <c r="M11" s="13"/>
      <c r="N11" s="13"/>
      <c r="O11" s="13"/>
      <c r="P11" s="425"/>
      <c r="Q11" s="13"/>
      <c r="R11" s="13"/>
      <c r="S11" s="8"/>
      <c r="T11" s="8"/>
      <c r="U11" s="8"/>
      <c r="V11" s="8"/>
      <c r="W11" s="8"/>
      <c r="X11" s="6"/>
      <c r="Y11" s="6"/>
    </row>
    <row r="12" spans="1:73" ht="15.5" x14ac:dyDescent="0.35">
      <c r="A12" s="1030" t="s">
        <v>6</v>
      </c>
      <c r="B12" s="1030"/>
      <c r="C12" s="1030"/>
      <c r="D12" s="1030"/>
      <c r="E12" s="82"/>
      <c r="F12" s="1062">
        <f ca="1">NOW()</f>
        <v>43000.497892013889</v>
      </c>
      <c r="G12" s="1063"/>
      <c r="H12" s="1063"/>
      <c r="I12" s="1063"/>
      <c r="J12" s="1063"/>
      <c r="K12" s="1063"/>
      <c r="L12" s="1063"/>
      <c r="M12" s="1063"/>
      <c r="N12" s="1063"/>
      <c r="O12" s="1063"/>
      <c r="P12" s="1063"/>
      <c r="Q12" s="1063"/>
      <c r="R12" s="1063"/>
      <c r="S12" s="1063"/>
      <c r="T12" s="1063"/>
      <c r="U12" s="1063"/>
      <c r="V12" s="1063"/>
      <c r="W12" s="1063"/>
      <c r="X12" s="1063"/>
      <c r="Y12" s="1063"/>
      <c r="Z12" s="1064"/>
      <c r="AB12" s="2" t="s">
        <v>7</v>
      </c>
    </row>
    <row r="13" spans="1:73" ht="14.5" thickBot="1" x14ac:dyDescent="0.4">
      <c r="B13" s="3"/>
      <c r="C13" s="400"/>
      <c r="D13" s="3"/>
      <c r="E13" s="400"/>
      <c r="F13" s="14"/>
      <c r="G13" s="407"/>
      <c r="H13" s="15"/>
      <c r="I13" s="404"/>
      <c r="J13" s="15"/>
      <c r="K13" s="7"/>
      <c r="L13" s="405"/>
      <c r="M13" s="15"/>
      <c r="N13" s="7"/>
      <c r="O13" s="7"/>
      <c r="P13" s="405"/>
      <c r="Q13" s="7"/>
      <c r="R13" s="7"/>
      <c r="S13" s="7"/>
      <c r="T13" s="15"/>
      <c r="U13" s="7"/>
      <c r="X13" s="6"/>
      <c r="Y13" s="6"/>
      <c r="AB13" s="2" t="s">
        <v>8</v>
      </c>
      <c r="AH13" s="1034" t="s">
        <v>9</v>
      </c>
      <c r="AI13" s="1034"/>
      <c r="AJ13" s="1034"/>
      <c r="AK13" s="1034"/>
      <c r="AL13" s="1034"/>
      <c r="AM13" s="1034"/>
      <c r="AN13" s="1034"/>
      <c r="AO13" s="1034"/>
      <c r="AP13" s="1034"/>
      <c r="AQ13" s="1034"/>
      <c r="AR13" s="1034"/>
      <c r="AS13" s="1034"/>
      <c r="AT13" s="1034"/>
      <c r="AU13" s="1034"/>
      <c r="AV13" s="1034"/>
      <c r="AW13" s="1034"/>
      <c r="AX13" s="1034"/>
      <c r="AY13" s="1034"/>
      <c r="AZ13" s="1034"/>
      <c r="BB13" s="1034" t="s">
        <v>10</v>
      </c>
      <c r="BC13" s="1034"/>
      <c r="BD13" s="1034"/>
      <c r="BE13" s="1034"/>
      <c r="BF13" s="1034"/>
      <c r="BG13" s="1034"/>
      <c r="BH13" s="1034"/>
      <c r="BI13" s="1034"/>
      <c r="BJ13" s="1034"/>
      <c r="BK13" s="1034"/>
      <c r="BL13" s="1034"/>
      <c r="BM13" s="1034"/>
      <c r="BN13" s="1034"/>
      <c r="BO13" s="1034"/>
      <c r="BP13" s="1034"/>
      <c r="BQ13" s="1034"/>
      <c r="BR13" s="1034"/>
      <c r="BS13" s="1034"/>
      <c r="BT13" s="1034"/>
      <c r="BU13" s="1034"/>
    </row>
    <row r="14" spans="1:73" s="17" customFormat="1" ht="15" customHeight="1" x14ac:dyDescent="0.35">
      <c r="A14" s="1035" t="s">
        <v>11</v>
      </c>
      <c r="B14" s="1036"/>
      <c r="C14" s="1036"/>
      <c r="D14" s="1037"/>
      <c r="E14" s="83"/>
      <c r="F14" s="1038" t="s">
        <v>12</v>
      </c>
      <c r="G14" s="1038"/>
      <c r="H14" s="1038"/>
      <c r="I14" s="420"/>
      <c r="J14" s="16"/>
      <c r="K14" s="1039" t="s">
        <v>13</v>
      </c>
      <c r="L14" s="104"/>
      <c r="M14" s="1035" t="s">
        <v>14</v>
      </c>
      <c r="N14" s="1036"/>
      <c r="O14" s="1037"/>
      <c r="P14" s="883"/>
      <c r="Q14" s="1042" t="s">
        <v>15</v>
      </c>
      <c r="R14" s="1042"/>
      <c r="S14" s="1042"/>
      <c r="T14" s="1042" t="s">
        <v>16</v>
      </c>
      <c r="U14" s="1042"/>
      <c r="V14" s="1042"/>
      <c r="W14" s="1042"/>
    </row>
    <row r="15" spans="1:73" s="17" customFormat="1" ht="14.25" customHeight="1" x14ac:dyDescent="0.35">
      <c r="A15" s="1040" t="s">
        <v>17</v>
      </c>
      <c r="B15" s="1040" t="s">
        <v>18</v>
      </c>
      <c r="C15" s="884"/>
      <c r="D15" s="1040" t="s">
        <v>19</v>
      </c>
      <c r="E15" s="884"/>
      <c r="F15" s="1018" t="s">
        <v>20</v>
      </c>
      <c r="G15" s="1018"/>
      <c r="H15" s="1018"/>
      <c r="I15" s="887"/>
      <c r="J15" s="46"/>
      <c r="K15" s="1040"/>
      <c r="L15" s="103"/>
      <c r="M15" s="1023" t="s">
        <v>21</v>
      </c>
      <c r="N15" s="1024"/>
      <c r="O15" s="1025"/>
      <c r="P15" s="888"/>
      <c r="Q15" s="1023" t="s">
        <v>22</v>
      </c>
      <c r="R15" s="1024"/>
      <c r="S15" s="1025"/>
      <c r="T15" s="1018" t="s">
        <v>23</v>
      </c>
      <c r="U15" s="1018" t="s">
        <v>24</v>
      </c>
      <c r="V15" s="1018" t="s">
        <v>5</v>
      </c>
      <c r="W15" s="1018" t="s">
        <v>25</v>
      </c>
    </row>
    <row r="16" spans="1:73" s="17" customFormat="1" ht="63" customHeight="1" thickBot="1" x14ac:dyDescent="0.4">
      <c r="A16" s="1043"/>
      <c r="B16" s="1043"/>
      <c r="C16" s="886" t="s">
        <v>96</v>
      </c>
      <c r="D16" s="1043"/>
      <c r="E16" s="886" t="s">
        <v>97</v>
      </c>
      <c r="F16" s="46" t="s">
        <v>26</v>
      </c>
      <c r="G16" s="887" t="s">
        <v>96</v>
      </c>
      <c r="H16" s="46" t="s">
        <v>10</v>
      </c>
      <c r="I16" s="887" t="s">
        <v>96</v>
      </c>
      <c r="J16" s="46" t="s">
        <v>27</v>
      </c>
      <c r="K16" s="1041"/>
      <c r="L16" s="885" t="s">
        <v>98</v>
      </c>
      <c r="M16" s="19" t="s">
        <v>26</v>
      </c>
      <c r="N16" s="19" t="s">
        <v>10</v>
      </c>
      <c r="O16" s="47" t="s">
        <v>27</v>
      </c>
      <c r="P16" s="886" t="s">
        <v>100</v>
      </c>
      <c r="Q16" s="46" t="s">
        <v>28</v>
      </c>
      <c r="R16" s="46" t="s">
        <v>24</v>
      </c>
      <c r="S16" s="46" t="s">
        <v>29</v>
      </c>
      <c r="T16" s="1018"/>
      <c r="U16" s="1018"/>
      <c r="V16" s="1018"/>
      <c r="W16" s="1018"/>
    </row>
    <row r="17" spans="1:71" ht="240" customHeight="1" x14ac:dyDescent="0.35">
      <c r="A17" s="856" t="str">
        <f>IF(ISTEXT([4]IdentificaciónRiesgos!$B6),[4]IdentificaciónRiesgos!$A6,"")</f>
        <v>*Fallas en la planificación de adquisición, mantenimiento y monitoreo. 
* Falta de papeleria técnica e insumos.
* Falta de plan de contigencia de los observadores voluntarios en algunas fechas (vacaciones, festivos o enfermedad).
*Falta de plan de contigencia para reacción imediata en estaciones fuera de servicio. 
*Orden público
*Falla en los equipos.
*Observador voluntario desmotivado.
*Personal técnico insufiente para labores de campo.</v>
      </c>
      <c r="B17" s="581" t="str">
        <f>IF(ISTEXT([4]IdentificaciónRiesgos!$B6),[4]IdentificaciónRiesgos!$B6,"")</f>
        <v>Perdida de continuidad de la información</v>
      </c>
      <c r="C17" s="856" t="str">
        <f>IF(ISTEXT([4]IdentificaciónRiesgos!$B6),[4]IdentificaciónRiesgos!$C6,"")</f>
        <v>La información no es continua, de acuerdo con el uso de la información.</v>
      </c>
      <c r="D17" s="856" t="str">
        <f>IF(ISTEXT([4]IdentificaciónRiesgos!$B6),[4]IdentificaciónRiesgos!$D6,"")</f>
        <v>*Sanciones 
*Toma de decisiones desacertadas
*Perdida de imagen institucional y credibilidad del Instituto 
*Presentacion de información incompleta
*Limitación en el acceso de la información institucional
*Incumplimiento a principios y exigencias de la politica institucional
*No generación de conocimiento base de investigaciones 
*¨Pérdida de carácter oficial de la información. 
*Limitación y capacidad para la generación de información.</v>
      </c>
      <c r="E17" s="850" t="str">
        <f>IF(ISTEXT([4]IdentificaciónRiesgos!$B6),VLOOKUP($C17,[4]DefiniciónRiesgos!$A$4:$F$9,6,FALSE),"")</f>
        <v>RIESGO DE GESTIÓN</v>
      </c>
      <c r="F17" s="851">
        <f>IF(ISTEXT([4]IdentificaciónRiesgos!$B6),IF(EXACT([4]AnálisisRiesgos!$B9,"X"),5,IF(EXACT([4]AnálisisRiesgos!$C9,"X"),4,IF(EXACT([4]AnálisisRiesgos!$D9,"X"),3,IF(EXACT([4]AnálisisRiesgos!$E9,"X"),2,IF(EXACT([4]AnálisisRiesgos!$F9,"X"),1,""))))),"")</f>
        <v>4</v>
      </c>
      <c r="G17" s="851" t="str">
        <f t="shared" ref="G17:G19" si="0">IF(EXACT($F17,5),"Casí Seguro",IF(EXACT($F17,4),"Probable",IF(EXACT($F17,3),"Posible",IF(EXACT($F17,2),"Improbable","Rara Vez"))))</f>
        <v>Probable</v>
      </c>
      <c r="H17" s="852">
        <f>IF(EXACT($B17,""),"",IF(EXACT($E17,"RIESGO DE GESTIÓN"),IF(EXACT([4]AnálisisRiesgos!$G9,"X"),5,IF(EXACT([4]AnálisisRiesgos!$H9,"X"),4,IF(EXACT([4]AnálisisRiesgos!$I9,"X"),3,IF(EXACT([4]AnálisisRiesgos!$J9,"X"),2,1)))),IF(EXACT([4]AnálisisRiesgos!$L9,"X"),20,IF(EXACT([4]AnálisisRiesgos!$M9,"X"),10,5))))</f>
        <v>3</v>
      </c>
      <c r="I17" s="852" t="str">
        <f t="shared" ref="I17:I19" si="1">IF(EXACT($E17,"RIESGO DE GESTIÓN"),IF(EXACT($H17,1),"Insignificante",IF(EXACT($H17,2),"Menor",IF(EXACT($H17,3),"Moderado",IF(EXACT($H17,4),"Mayor","Catastrófico")))),IF(EXACT($H17,5),"Moderado",IF(EXACT($H17,10),"Mayor","Catastrófico")))</f>
        <v>Moderado</v>
      </c>
      <c r="J17" s="853" t="s">
        <v>51</v>
      </c>
      <c r="K17" s="898" t="s">
        <v>519</v>
      </c>
      <c r="L17" s="1067" t="s">
        <v>26</v>
      </c>
      <c r="M17" s="1068"/>
      <c r="N17" s="26"/>
      <c r="O17" s="853" t="s">
        <v>51</v>
      </c>
      <c r="P17" s="854" t="s">
        <v>211</v>
      </c>
      <c r="Q17" s="23" t="s">
        <v>80</v>
      </c>
      <c r="R17" s="743" t="s">
        <v>520</v>
      </c>
      <c r="S17" s="855" t="s">
        <v>521</v>
      </c>
      <c r="T17" s="857">
        <v>42947</v>
      </c>
      <c r="U17" s="695" t="s">
        <v>522</v>
      </c>
      <c r="V17" s="858" t="s">
        <v>523</v>
      </c>
      <c r="W17" s="28"/>
      <c r="Y17" s="28" t="str">
        <f>IF(AND(F17=1,H17=5),$H$25,IF(AND(F17=1,H17=10),$J$25,IF(AND(F17=1,H17=20),$K$25," ")))</f>
        <v xml:space="preserve"> </v>
      </c>
      <c r="Z17" s="28" t="str">
        <f>IF(AND(F17=2,H17=5),$H$26,IF(AND(F17=2,H17=10),$J$26,IF(AND(F17=2,H17=20),$K$26," ")))</f>
        <v xml:space="preserve"> </v>
      </c>
      <c r="AA17" s="28" t="str">
        <f>IF(AND(F17=3,H17=5),$H$27,IF(AND(F17=3,H17=10),$J$27,IF(AND(F17=3,H17=20),$K$27," ")))</f>
        <v xml:space="preserve"> </v>
      </c>
      <c r="AB17" s="28" t="str">
        <f>IF(AND(F17=4,H17=5),$H$28,IF(AND(F17=4,H17=10),$J$28,IF(AND(F17=4,H17=20),$K$28," ")))</f>
        <v xml:space="preserve"> </v>
      </c>
      <c r="AC17" s="28" t="str">
        <f>IF(AND(F17=5,H17=5),$H$29,IF(AND(F17=5,H17=10),$J$29,IF(AND(F17=5,H17=20),$K$29," ")))</f>
        <v xml:space="preserve"> </v>
      </c>
      <c r="AE17" s="29" t="s">
        <v>31</v>
      </c>
      <c r="AF17" s="28" t="str">
        <f>IF(AND(M17&gt;0,[3]EvaluaciónRiesgoCorrup!$F$11&gt;75,F17=1,H17=5),$H$25,IF(AND(M17&gt;0,[3]EvaluaciónRiesgoCorrup!$F$11&gt;75,F17=1,H17=10),$J$25,IF(AND(M17&gt;0,[3]EvaluaciónRiesgoCorrup!$F$11&gt;75,F17=1,H17=20),$K$25," ")))</f>
        <v xml:space="preserve"> </v>
      </c>
      <c r="AG17" s="28" t="str">
        <f>IF(AND(M17&gt;0,[3]EvaluaciónRiesgoCorrup!$F$11&gt;75,F17=2,H17=5),$H$25,IF(AND(M17&gt;0,[3]EvaluaciónRiesgoCorrup!$F$11&gt;75,F17=2,H17=10),$J$25,IF(AND(M17&gt;0,[3]EvaluaciónRiesgoCorrup!$F$11&gt;75,F17=2,H17=20),$K$25," ")))</f>
        <v xml:space="preserve"> </v>
      </c>
      <c r="AH17" s="28" t="str">
        <f>IF(AND(M17&gt;0,[3]EvaluaciónRiesgoCorrup!$F$11&gt;75,F17=3,H17=5),$H$25,IF(AND(M17&gt;0,[3]EvaluaciónRiesgoCorrup!$F$11&gt;75,F17=3,H17=10),$J$25,IF(AND(M17&gt;0,[3]EvaluaciónRiesgoCorrup!$F$11&gt;75,F17=3,H17=20),$K$25," ")))</f>
        <v xml:space="preserve"> </v>
      </c>
      <c r="AI17" s="28" t="str">
        <f>IF(AND(M17&gt;0,[3]EvaluaciónRiesgoCorrup!$F$11&gt;75,F17=4,H17=5),$H$26,IF(AND(M17&gt;0,[3]EvaluaciónRiesgoCorrup!$F$11&gt;75,F17=4,H17=10),$J$26,IF(AND(M17&gt;0,[3]EvaluaciónRiesgoCorrup!$F$11&gt;75,F17=4,H17=20),$K$26," ")))</f>
        <v xml:space="preserve"> </v>
      </c>
      <c r="AJ17" s="28" t="str">
        <f>IF(AND(M17&gt;0,[3]EvaluaciónRiesgoCorrup!$F$11&gt;75,F17=5,H17=5),$H$27,IF(AND(M17&gt;0,[3]EvaluaciónRiesgoCorrup!$F$11&gt;75,F17=5,H17=10),$J$27,IF(AND(M17&gt;0,[3]EvaluaciónRiesgoCorrup!$F$11&gt;75,F17=5,H17=20),$K$27," ")))</f>
        <v xml:space="preserve"> </v>
      </c>
      <c r="AK17" s="29" t="s">
        <v>32</v>
      </c>
      <c r="AL17" s="28" t="str">
        <f>IF(AND(M17&gt;0,[3]EvaluaciónRiesgoCorrup!$F$11&gt;50,[3]EvaluaciónRiesgoCorrup!$F$11&lt;76,F17=1,H17=5),$H$25,IF(AND(M17&gt;0,[3]EvaluaciónRiesgoCorrup!$F$11&gt;50,[3]EvaluaciónRiesgoCorrup!$F$11&lt;76,F17=1,H17=10),$J$25,IF(AND(M17&gt;0,[3]EvaluaciónRiesgoCorrup!$F$11&gt;50,[3]EvaluaciónRiesgoCorrup!$F$11&lt;76,F17=1,H17=20),$K$25," ")))</f>
        <v xml:space="preserve"> </v>
      </c>
      <c r="AM17" s="28" t="str">
        <f>IF(AND(M17&gt;0,[3]EvaluaciónRiesgoCorrup!$F$11&gt;50,[3]EvaluaciónRiesgoCorrup!$F$11&lt;76,F17=2,H17=5),$H$25,IF(AND(M17&gt;0,[3]EvaluaciónRiesgoCorrup!$F$11&gt;50,[3]EvaluaciónRiesgoCorrup!$F$11&lt;76,F17=2,H17=10),$J$25,IF(AND(M17&gt;0,[3]EvaluaciónRiesgoCorrup!$F$11&gt;50,[3]EvaluaciónRiesgoCorrup!$F$11&lt;76,F17=2,H17=20),$K$25," ")))</f>
        <v xml:space="preserve"> </v>
      </c>
      <c r="AN17" s="28" t="str">
        <f>IF(AND(M17&gt;0,[3]EvaluaciónRiesgoCorrup!$F$11&gt;50,[3]EvaluaciónRiesgoCorrup!$F$11&lt;76,F17=3,H17=5),$H$26,IF(AND(M17&gt;0,[3]EvaluaciónRiesgoCorrup!$F$11&gt;50,[3]EvaluaciónRiesgoCorrup!$F$11&lt;76,F17=3,H17=10),$J$26,IF(AND(M17&gt;0,[3]EvaluaciónRiesgoCorrup!$F$11&gt;50,[3]EvaluaciónRiesgoCorrup!$F$11&lt;76,F17=3,H17=20),$K$26," ")))</f>
        <v xml:space="preserve"> </v>
      </c>
      <c r="AO17" s="28" t="str">
        <f>IF(AND(M17&gt;0,[3]EvaluaciónRiesgoCorrup!$F$11&gt;50,[3]EvaluaciónRiesgoCorrup!$F$11&lt;76,F17=4,H17=5),$H$27,IF(AND(M17&gt;0,[3]EvaluaciónRiesgoCorrup!$F$11&gt;50,[3]EvaluaciónRiesgoCorrup!$F$11&lt;76,F17=4,H17=10),$J$27,IF(AND(M17&gt;0,[3]EvaluaciónRiesgoCorrup!$F$11&gt;50,[3]EvaluaciónRiesgoCorrup!$F$11&lt;76,F17=4,H17=20),$K$27," ")))</f>
        <v xml:space="preserve"> </v>
      </c>
      <c r="AP17" s="28" t="str">
        <f>IF(AND(M17&gt;0,[3]EvaluaciónRiesgoCorrup!$F$11&gt;50,[3]EvaluaciónRiesgoCorrup!$F$11&lt;76,F17=5,H17=5),$H$28,IF(AND(M17&gt;0,[3]EvaluaciónRiesgoCorrup!$F$11&gt;50,[3]EvaluaciónRiesgoCorrup!$F$11&lt;76,F17=5,H17=10),$J$28,IF(AND(M17&gt;0,[3]EvaluaciónRiesgoCorrup!$F$11&gt;50,[3]EvaluaciónRiesgoCorrup!$F$11&lt;76,F17=5,H17=20),$K$28," ")))</f>
        <v xml:space="preserve"> </v>
      </c>
      <c r="AR17" s="29" t="s">
        <v>33</v>
      </c>
      <c r="AS17" s="28" t="str">
        <f>IF(AND(M17&gt;0,[3]EvaluaciónRiesgoCorrup!$F$11&lt;51,F17=1,H17=5),$H$25,IF(AND(M17&gt;0,[3]EvaluaciónRiesgoCorrup!$F$11&lt;51,F17=1,H17=10),$J$25,IF(AND(M17&gt;0,[3]EvaluaciónRiesgoCorrup!$F$11&lt;51,F17=1,H17=20),K$25," ")))</f>
        <v xml:space="preserve"> </v>
      </c>
      <c r="AT17" s="28" t="str">
        <f>IF(AND(M17&gt;0,[3]EvaluaciónRiesgoCorrup!$F$11&lt;51,F17=2,H17=5),$H$26,IF(AND(M17&gt;0,[3]EvaluaciónRiesgoCorrup!$F$11&lt;51,F17=2,H17=10),$J$26,IF(AND(M17&gt;0,[3]EvaluaciónRiesgoCorrup!$F$11&lt;51,F17=2,H17=20),K$26," ")))</f>
        <v xml:space="preserve"> </v>
      </c>
      <c r="AU17" s="28" t="str">
        <f>IF(AND(M17&gt;0,[3]EvaluaciónRiesgoCorrup!$F$11&lt;51,F17=3,H17=5),$H$27,IF(AND(M17&gt;0,[3]EvaluaciónRiesgoCorrup!$F$11&lt;51,F17=3,H17=10),$J$27,IF(AND(M17&gt;0,[3]EvaluaciónRiesgoCorrup!$F$11&lt;51,F17=3,H17=20),K$27," ")))</f>
        <v xml:space="preserve"> </v>
      </c>
      <c r="AV17" s="28" t="str">
        <f>IF(AND(M17&gt;0,[3]EvaluaciónRiesgoCorrup!$F$11&lt;51,F17=4,H17=5),$H$28,IF(AND(M17&gt;0,[3]EvaluaciónRiesgoCorrup!$F$11&lt;51,F17=4,H17=10),$J$28,IF(AND(M17&gt;0,[3]EvaluaciónRiesgoCorrup!$F$11&lt;51,F17=4,H17=20),K$28," ")))</f>
        <v xml:space="preserve"> </v>
      </c>
      <c r="AW17" s="28" t="str">
        <f>IF(AND(M17&gt;0,[3]EvaluaciónRiesgoCorrup!$F$11&lt;51,F17=5,H17=5),$H$29,IF(AND(M17&gt;0,[3]EvaluaciónRiesgoCorrup!$F$11&lt;51,F17=5,H17=10),$J$29,IF(AND(M17&gt;0,[3]EvaluaciónRiesgoCorrup!$F$11&lt;51,F17=5,H17=20),K$29," ")))</f>
        <v xml:space="preserve"> </v>
      </c>
      <c r="AZ17" s="29" t="s">
        <v>31</v>
      </c>
      <c r="BA17" s="28" t="str">
        <f>IF(AND(N17&gt;0,[3]EvaluaciónRiesgoCorrup!$F$11&gt;75,F17=1,H17=5),$H$25,IF(AND(N17&gt;0,[3]EvaluaciónRiesgoCorrup!$F$11&gt;75,F17=1,H17=10),$H$25,IF(AND(N17&gt;0,[3]EvaluaciónRiesgoCorrup!$F$11&gt;75,F17=1,H17=20),$H$25," ")))</f>
        <v xml:space="preserve"> </v>
      </c>
      <c r="BB17" s="28" t="str">
        <f>IF(AND(N17&gt;0,[3]EvaluaciónRiesgoCorrup!$F$11&gt;75,F17=2,H17=5),$H$26,IF(AND(N17&gt;0,[3]EvaluaciónRiesgoCorrup!$F$11&gt;75,F17=2,H17=10),$H$26,IF(AND(N17&gt;0,[3]EvaluaciónRiesgoCorrup!$F$11&gt;75,F17=2,H17=20),$H$26," ")))</f>
        <v xml:space="preserve"> </v>
      </c>
      <c r="BC17" s="28" t="str">
        <f>IF(AND(N17&gt;0,[3]EvaluaciónRiesgoCorrup!$F$11&gt;75,F17=3,H17=5),$H$27,IF(AND(N17&gt;0,[3]EvaluaciónRiesgoCorrup!$F$11&gt;75,F17=3,H17=10),$H$27,IF(AND(N17&gt;0,[3]EvaluaciónRiesgoCorrup!$F$11&gt;75,F17=3,H17=20),$H$27," ")))</f>
        <v xml:space="preserve"> </v>
      </c>
      <c r="BD17" s="28" t="str">
        <f>IF(AND(N17&gt;0,[3]EvaluaciónRiesgoCorrup!$F$11&gt;75,F17=4,H17=5),$H$28,IF(AND(N17&gt;0,[3]EvaluaciónRiesgoCorrup!$F$11&gt;75,F17=4,H17=10),$H$28,IF(AND(N17&gt;0,[3]EvaluaciónRiesgoCorrup!$F$11&gt;75,F17=4,H17=20),$H$28," ")))</f>
        <v xml:space="preserve"> </v>
      </c>
      <c r="BE17" s="28" t="str">
        <f>IF(AND(N17&gt;0,[3]EvaluaciónRiesgoCorrup!$F$11&gt;75,F17=5,H17=5),$H$29,IF(AND(N17&gt;0,[3]EvaluaciónRiesgoCorrup!$F$11&gt;75,F17=5,H17=10),$H$29,IF(AND(N17&gt;0,[3]EvaluaciónRiesgoCorrup!$F$11&gt;75,F17=5,H17=20),$H$29," ")))</f>
        <v xml:space="preserve"> </v>
      </c>
      <c r="BG17" s="29" t="s">
        <v>32</v>
      </c>
      <c r="BH17" s="28" t="str">
        <f>IF(AND(N17&gt;0,[3]EvaluaciónRiesgoCorrup!$F$11&gt;50,[3]EvaluaciónRiesgoCorrup!$F$11&lt;76,F17=1,H17=5),$H$25,IF(AND(N17&gt;0,[3]EvaluaciónRiesgoCorrup!$F$11&gt;50,[3]EvaluaciónRiesgoCorrup!$F$11&lt;76,F17=1,H17=10),$H$25,IF(AND(N17&gt;0,[3]EvaluaciónRiesgoCorrup!$F$11&gt;50,[3]EvaluaciónRiesgoCorrup!$F$11&lt;76,F17=1,H17=20),$J$25," ")))</f>
        <v xml:space="preserve"> </v>
      </c>
      <c r="BI17" s="28" t="str">
        <f>IF(AND(N17&gt;0,[3]EvaluaciónRiesgoCorrup!$F$11&gt;50,[3]EvaluaciónRiesgoCorrup!$F$11&lt;76,F17=2,H17=5),$H$26,IF(AND(N17&gt;0,[3]EvaluaciónRiesgoCorrup!$F$11&gt;50,[3]EvaluaciónRiesgoCorrup!$F$11&lt;76,F17=2,H17=10),$H$26,IF(AND(N17&gt;0,[3]EvaluaciónRiesgoCorrup!$F$11&gt;50,[3]EvaluaciónRiesgoCorrup!$F$11&lt;76,F17=2,H17=20),$J$26," ")))</f>
        <v xml:space="preserve"> </v>
      </c>
      <c r="BJ17" s="28" t="str">
        <f>IF(AND(N17&gt;0,[3]EvaluaciónRiesgoCorrup!$F$11&gt;50,[3]EvaluaciónRiesgoCorrup!$F$11&lt;76,F17=3,H17=5),$H$27,IF(AND(N17&gt;0,[3]EvaluaciónRiesgoCorrup!$F$11&gt;50,[3]EvaluaciónRiesgoCorrup!$F$11&lt;76,F17=3,H17=10),$H$27,IF(AND(N17&gt;0,[3]EvaluaciónRiesgoCorrup!$F$11&gt;50,[3]EvaluaciónRiesgoCorrup!$F$11&lt;76,F17=3,H17=20),$J$27," ")))</f>
        <v xml:space="preserve"> </v>
      </c>
      <c r="BK17" s="28" t="str">
        <f>IF(AND(N17&gt;0,[3]EvaluaciónRiesgoCorrup!$F$11&gt;50,[3]EvaluaciónRiesgoCorrup!$F$11&lt;76,F17=4,H17=5),$H$28,IF(AND(N17&gt;0,[3]EvaluaciónRiesgoCorrup!$F$11&gt;50,[3]EvaluaciónRiesgoCorrup!$F$11&lt;76,F17=4,H17=10),$H$28,IF(AND(N17&gt;0,[3]EvaluaciónRiesgoCorrup!$F$11&gt;50,[3]EvaluaciónRiesgoCorrup!$F$11&lt;76,F17=4,H17=20),$J$28," ")))</f>
        <v xml:space="preserve"> </v>
      </c>
      <c r="BL17" s="28" t="str">
        <f>IF(AND(N17&gt;0,[3]EvaluaciónRiesgoCorrup!$F$11&gt;50,[3]EvaluaciónRiesgoCorrup!$F$11&lt;76,F17=5,H17=5),$H$29,IF(AND(N17&gt;0,[3]EvaluaciónRiesgoCorrup!$F$11&gt;50,[3]EvaluaciónRiesgoCorrup!$F$11&lt;76,F17=5,H17=10),$H$29,IF(AND(N17&gt;0,[3]EvaluaciónRiesgoCorrup!$F$11&gt;50,[3]EvaluaciónRiesgoCorrup!$F$11&lt;76,F17=5,H17=20),$J$29," ")))</f>
        <v xml:space="preserve"> </v>
      </c>
      <c r="BN17" s="29" t="s">
        <v>33</v>
      </c>
      <c r="BO17" s="28" t="str">
        <f>IF(AND(N17&gt;0,[3]EvaluaciónRiesgoCorrup!$F$11&lt;51,F17=1,H17=5),$H$25,IF(AND(N17&gt;0,[3]EvaluaciónRiesgoCorrup!$F$11&lt;51,F17=1,H17=10),$J$25,IF(AND(N17&gt;0,[3]EvaluaciónRiesgoCorrup!$F$11&lt;51,F17=1,H17=20),$K$25," ")))</f>
        <v xml:space="preserve"> </v>
      </c>
      <c r="BP17" s="28" t="str">
        <f>IF(AND(N17&gt;0,[3]EvaluaciónRiesgoCorrup!$F$11&lt;51,F17=2,H17=5),$H$26,IF(AND(N17&gt;0,[3]EvaluaciónRiesgoCorrup!$F$11&lt;51,F17=2,H17=10),$J$26,IF(AND(N17&gt;0,[3]EvaluaciónRiesgoCorrup!$F$11&lt;51,F17=2,H17=20),$K$26," ")))</f>
        <v xml:space="preserve"> </v>
      </c>
      <c r="BQ17" s="28" t="str">
        <f>IF(AND(N17&gt;0,[3]EvaluaciónRiesgoCorrup!$F$11&lt;51,F17=3,H17=5),$H$27,IF(AND(N17&gt;0,[3]EvaluaciónRiesgoCorrup!$F$11&lt;51,F17=3,H17=10),$J$27,IF(AND(N17&gt;0,[3]EvaluaciónRiesgoCorrup!$F$11&lt;51,F17=3,H17=20),$K$27," ")))</f>
        <v xml:space="preserve"> </v>
      </c>
      <c r="BR17" s="28" t="str">
        <f>IF(AND(N17&gt;0,[3]EvaluaciónRiesgoCorrup!$F$11&lt;51,F17=4,H17=5),$H$28,IF(AND(N17&gt;0,[3]EvaluaciónRiesgoCorrup!$F$11&lt;51,F17=4,H17=10),$J$28,IF(AND(N17&gt;0,[3]EvaluaciónRiesgoCorrup!$F$11&lt;51,F17=4,H17=20),$K$28," ")))</f>
        <v xml:space="preserve"> </v>
      </c>
      <c r="BS17" s="28" t="str">
        <f>IF(AND(N17&gt;0,[3]EvaluaciónRiesgoCorrup!$F$11&lt;51,F17=5,H17=5),$H$29,IF(AND(N17&gt;0,[3]EvaluaciónRiesgoCorrup!$F$11&lt;51,F17=5,H17=10),$J$29,IF(AND(N17&gt;0,[3]EvaluaciónRiesgoCorrup!$F$11&lt;51,F17=5,H17=20),$K$29," ")))</f>
        <v xml:space="preserve"> </v>
      </c>
    </row>
    <row r="18" spans="1:71" ht="292.5" customHeight="1" x14ac:dyDescent="0.35">
      <c r="A18" s="856" t="str">
        <f>IF(ISTEXT([4]IdentificaciónRiesgos!$B7),[4]IdentificaciónRiesgos!$A7,"")</f>
        <v>*Fallas en la planificacion de adquisicion, mantenimiento y monitoreo. 
*Incumplimientro de la normatividad.
*Suministro inoportuno de instrumentos e insumos para generación de información Hidrometeorológica.
*Debilidades en la instalacion y mantenimiento de  los instrumentos de medición y estructuras requeridas.
*Fallas en la captura, tratamiento y almacenamiento de datos hidrometeorologicos y ambientales 
*No recolección o entrega de datos por parte del observador voluntario.
*Debilidades en la adquisicion y mantenimiento de  los equipos necesarios para el monitoreo de variables Hidrológicas, Meteorológicas y Ambientales.
*Observador voluntario desmotivado.
*Falta de personal idoneo para la captura, procesamiento y verificación de datos.
*Falta de calibración de equipos.</v>
      </c>
      <c r="B18" s="581" t="str">
        <f>IF(ISTEXT([4]IdentificaciónRiesgos!$B7),[4]IdentificaciónRiesgos!$B7,"")</f>
        <v xml:space="preserve">Generación de datos hidrometereologicos y ambientales inexactos e inoportunos </v>
      </c>
      <c r="C18" s="856" t="str">
        <f>IF(ISTEXT([4]IdentificaciónRiesgos!$B7),[4]IdentificaciónRiesgos!$C7,"")</f>
        <v xml:space="preserve">Emisión de información por parte del IDEAM inadecuada que no soporte la adopción de decisiones acertadas. </v>
      </c>
      <c r="D18" s="856" t="str">
        <f>IF(ISTEXT([4]IdentificaciónRiesgos!$B7),[4]IdentificaciónRiesgos!$D7,"")</f>
        <v xml:space="preserve">*Sanciones 
*Toma de decisiones desacertadas
*Perdida de imagen institucional y credibilidad del Instituto 
*Presentacion de informacion incompleta
*Limitación en el acceso de la informacion institucional
*Incumplimiento a principios y exigencias de la politica institucional
*No generación de conocimiento base de investigaciones </v>
      </c>
      <c r="E18" s="850" t="str">
        <f>IF(ISTEXT([4]IdentificaciónRiesgos!$B7),VLOOKUP($C18,[4]DefiniciónRiesgos!$A$4:$F$9,6,FALSE),"")</f>
        <v>RIESGO DE GESTIÓN</v>
      </c>
      <c r="F18" s="851">
        <f>IF(ISTEXT([4]IdentificaciónRiesgos!$B7),IF(EXACT([4]AnálisisRiesgos!$B10,"X"),5,IF(EXACT([4]AnálisisRiesgos!$C10,"X"),4,IF(EXACT([4]AnálisisRiesgos!$D10,"X"),3,IF(EXACT([4]AnálisisRiesgos!$E10,"X"),2,IF(EXACT([4]AnálisisRiesgos!$F10,"X"),1,""))))),"")</f>
        <v>4</v>
      </c>
      <c r="G18" s="851" t="str">
        <f t="shared" si="0"/>
        <v>Probable</v>
      </c>
      <c r="H18" s="852">
        <f>IF(EXACT($B18,""),"",IF(EXACT($E18,"RIESGO DE GESTIÓN"),IF(EXACT([4]AnálisisRiesgos!$G10,"X"),5,IF(EXACT([4]AnálisisRiesgos!$H10,"X"),4,IF(EXACT([4]AnálisisRiesgos!$I10,"X"),3,IF(EXACT([4]AnálisisRiesgos!$J10,"X"),2,1)))),IF(EXACT([4]AnálisisRiesgos!$L10,"X"),20,IF(EXACT([4]AnálisisRiesgos!$M10,"X"),10,5))))</f>
        <v>4</v>
      </c>
      <c r="I18" s="852" t="str">
        <f t="shared" si="1"/>
        <v>Mayor</v>
      </c>
      <c r="J18" s="853" t="s">
        <v>53</v>
      </c>
      <c r="K18" s="580" t="s">
        <v>524</v>
      </c>
      <c r="L18" s="1067" t="s">
        <v>26</v>
      </c>
      <c r="M18" s="1068"/>
      <c r="N18" s="26"/>
      <c r="O18" s="853" t="s">
        <v>51</v>
      </c>
      <c r="P18" s="854" t="s">
        <v>211</v>
      </c>
      <c r="Q18" s="855" t="s">
        <v>83</v>
      </c>
      <c r="R18" s="579" t="s">
        <v>525</v>
      </c>
      <c r="S18" s="855" t="s">
        <v>526</v>
      </c>
      <c r="T18" s="857">
        <v>42947</v>
      </c>
      <c r="U18" s="695" t="s">
        <v>527</v>
      </c>
      <c r="V18" s="858" t="s">
        <v>528</v>
      </c>
      <c r="W18" s="28"/>
      <c r="Y18" s="28" t="str">
        <f>IF(AND(F18=1,H18=5),$H$25,IF(AND(F18=1,H18=10),$J$25,IF(AND(F18=1,H18=20),$K$25," ")))</f>
        <v xml:space="preserve"> </v>
      </c>
      <c r="Z18" s="28" t="str">
        <f>IF(AND(F18=2,H18=5),$H$26,IF(AND(F18=2,H18=10),$J$26,IF(AND(F18=2,H18=20),$K$26," ")))</f>
        <v xml:space="preserve"> </v>
      </c>
      <c r="AA18" s="28" t="str">
        <f>IF(AND(F18=3,H18=5),$H$27,IF(AND(F18=3,H18=10),$J$27,IF(AND(F18=3,H18=20),$K$27," ")))</f>
        <v xml:space="preserve"> </v>
      </c>
      <c r="AB18" s="28" t="str">
        <f>IF(AND(F18=4,H18=5),$H$28,IF(AND(F18=4,H18=10),$J$28,IF(AND(F18=4,H18=20),$K$28," ")))</f>
        <v xml:space="preserve"> </v>
      </c>
      <c r="AC18" s="28" t="str">
        <f>IF(AND(F18=5,H18=5),$H$29,IF(AND(F18=5,H18=10),$J$29,IF(AND(F18=5,H18=20),$K$29," ")))</f>
        <v xml:space="preserve"> </v>
      </c>
      <c r="AF18" s="28" t="str">
        <f>IF(AND(M18&gt;0,[3]EvaluaciónRiesgoCorrup!$F$11&gt;75,F18=1,H18=5),$H$25,IF(AND(M18&gt;0,[3]EvaluaciónRiesgoCorrup!$F$11&gt;75,F18=1,H18=10),$J$25,IF(AND(M18&gt;0,[3]EvaluaciónRiesgoCorrup!$F$11&gt;75,F18=1,H18=20),$K$25," ")))</f>
        <v xml:space="preserve"> </v>
      </c>
      <c r="AG18" s="28" t="str">
        <f>IF(AND(M18&gt;0,[3]EvaluaciónRiesgoCorrup!$F$11&gt;75,F18=2,H18=5),$H$25,IF(AND(M18&gt;0,[3]EvaluaciónRiesgoCorrup!$F$11&gt;75,F18=2,H18=10),$J$25,IF(AND(M18&gt;0,[3]EvaluaciónRiesgoCorrup!$F$11&gt;75,F18=2,H18=20),$K$25," ")))</f>
        <v xml:space="preserve"> </v>
      </c>
      <c r="AH18" s="28" t="str">
        <f>IF(AND(M18&gt;0,[3]EvaluaciónRiesgoCorrup!$F$11&gt;75,F18=3,H18=5),$H$25,IF(AND(M18&gt;0,[3]EvaluaciónRiesgoCorrup!$F$11&gt;75,F18=3,H18=10),$J$25,IF(AND(M18&gt;0,[3]EvaluaciónRiesgoCorrup!$F$11&gt;75,F18=3,H18=20),$K$25," ")))</f>
        <v xml:space="preserve"> </v>
      </c>
      <c r="AI18" s="28" t="str">
        <f>IF(AND(M18&gt;0,[3]EvaluaciónRiesgoCorrup!$F$11&gt;75,F18=4,H18=5),$H$26,IF(AND(M18&gt;0,[3]EvaluaciónRiesgoCorrup!$F$11&gt;75,F18=4,H18=10),$J$26,IF(AND(M18&gt;0,[3]EvaluaciónRiesgoCorrup!$F$11&gt;75,F18=4,H18=20),$K$26," ")))</f>
        <v xml:space="preserve"> </v>
      </c>
      <c r="AJ18" s="28" t="str">
        <f>IF(AND(M18&gt;0,[3]EvaluaciónRiesgoCorrup!$F$11&gt;75,F18=5,H18=5),$H$27,IF(AND(M18&gt;0,[3]EvaluaciónRiesgoCorrup!$F$11&gt;75,F18=5,H18=10),$J$27,IF(AND(M18&gt;0,[3]EvaluaciónRiesgoCorrup!$F$11&gt;75,F18=5,H18=20),$K$27," ")))</f>
        <v xml:space="preserve"> </v>
      </c>
      <c r="AL18" s="28" t="str">
        <f>IF(AND(M18&gt;0,[3]EvaluaciónRiesgoCorrup!$F$11&gt;50,[3]EvaluaciónRiesgoCorrup!$F$11&lt;76,F18=1,H18=5),$H$25,IF(AND(M18&gt;0,[3]EvaluaciónRiesgoCorrup!$F$11&gt;50,[3]EvaluaciónRiesgoCorrup!$F$11&lt;76,F18=1,H18=10),$J$25,IF(AND(M18&gt;0,[3]EvaluaciónRiesgoCorrup!$F$11&gt;50,[3]EvaluaciónRiesgoCorrup!$F$11&lt;76,F18=1,H18=20),$K$25," ")))</f>
        <v xml:space="preserve"> </v>
      </c>
      <c r="AM18" s="28" t="str">
        <f>IF(AND(M18&gt;0,[3]EvaluaciónRiesgoCorrup!$F$11&gt;50,[3]EvaluaciónRiesgoCorrup!$F$11&lt;76,F18=2,H18=5),$H$25,IF(AND(M18&gt;0,[3]EvaluaciónRiesgoCorrup!$F$11&gt;50,[3]EvaluaciónRiesgoCorrup!$F$11&lt;76,F18=2,H18=10),$J$25,IF(AND(M18&gt;0,[3]EvaluaciónRiesgoCorrup!$F$11&gt;50,[3]EvaluaciónRiesgoCorrup!$F$11&lt;76,F18=2,H18=20),$K$25," ")))</f>
        <v xml:space="preserve"> </v>
      </c>
      <c r="AN18" s="28" t="str">
        <f>IF(AND(M18&gt;0,[3]EvaluaciónRiesgoCorrup!$F$11&gt;50,[3]EvaluaciónRiesgoCorrup!$F$11&lt;76,F18=3,H18=5),$H$26,IF(AND(M18&gt;0,[3]EvaluaciónRiesgoCorrup!$F$11&gt;50,[3]EvaluaciónRiesgoCorrup!$F$11&lt;76,F18=3,H18=10),$J$26,IF(AND(M18&gt;0,[3]EvaluaciónRiesgoCorrup!$F$11&gt;50,[3]EvaluaciónRiesgoCorrup!$F$11&lt;76,F18=3,H18=20),$K$26," ")))</f>
        <v xml:space="preserve"> </v>
      </c>
      <c r="AO18" s="28" t="str">
        <f>IF(AND(M18&gt;0,[3]EvaluaciónRiesgoCorrup!$F$11&gt;50,[3]EvaluaciónRiesgoCorrup!$F$11&lt;76,F18=4,H18=5),$H$27,IF(AND(M18&gt;0,[3]EvaluaciónRiesgoCorrup!$F$11&gt;50,[3]EvaluaciónRiesgoCorrup!$F$11&lt;76,F18=4,H18=10),$J$27,IF(AND(M18&gt;0,[3]EvaluaciónRiesgoCorrup!$F$11&gt;50,[3]EvaluaciónRiesgoCorrup!$F$11&lt;76,F18=4,H18=20),$K$27," ")))</f>
        <v xml:space="preserve"> </v>
      </c>
      <c r="AP18" s="28" t="str">
        <f>IF(AND(M18&gt;0,[3]EvaluaciónRiesgoCorrup!$F$11&gt;50,[3]EvaluaciónRiesgoCorrup!$F$11&lt;76,F18=5,H18=5),$H$28,IF(AND(M18&gt;0,[3]EvaluaciónRiesgoCorrup!$F$11&gt;50,[3]EvaluaciónRiesgoCorrup!$F$11&lt;76,F18=5,H18=10),$J$28,IF(AND(M18&gt;0,[3]EvaluaciónRiesgoCorrup!$F$11&gt;50,[3]EvaluaciónRiesgoCorrup!$F$11&lt;76,F18=5,H18=20),$K$28," ")))</f>
        <v xml:space="preserve"> </v>
      </c>
      <c r="AS18" s="28" t="str">
        <f>IF(AND(M18&gt;0,[3]EvaluaciónRiesgoCorrup!$F$11&lt;51,F18=1,H18=5),$H$25,IF(AND(M18&gt;0,[3]EvaluaciónRiesgoCorrup!$F$11&lt;51,F18=1,H18=10),$J$25,IF(AND(M18&gt;0,[3]EvaluaciónRiesgoCorrup!$F$11&lt;51,F18=1,H18=20),K$25," ")))</f>
        <v xml:space="preserve"> </v>
      </c>
      <c r="AT18" s="28" t="str">
        <f>IF(AND(M18&gt;0,[3]EvaluaciónRiesgoCorrup!$F$11&lt;51,F18=2,H18=5),$H$26,IF(AND(M18&gt;0,[3]EvaluaciónRiesgoCorrup!$F$11&lt;51,F18=2,H18=10),$J$26,IF(AND(M18&gt;0,[3]EvaluaciónRiesgoCorrup!$F$11&lt;51,F18=2,H18=20),K$26," ")))</f>
        <v xml:space="preserve"> </v>
      </c>
      <c r="AU18" s="28" t="str">
        <f>IF(AND(M18&gt;0,[3]EvaluaciónRiesgoCorrup!$F$11&lt;51,F18=3,H18=5),$H$27,IF(AND(M18&gt;0,[3]EvaluaciónRiesgoCorrup!$F$11&lt;51,F18=3,H18=10),$J$27,IF(AND(M18&gt;0,[3]EvaluaciónRiesgoCorrup!$F$11&lt;51,F18=3,H18=20),K$27," ")))</f>
        <v xml:space="preserve"> </v>
      </c>
      <c r="AV18" s="28" t="str">
        <f>IF(AND(M18&gt;0,[3]EvaluaciónRiesgoCorrup!$F$11&lt;51,F18=4,H18=5),$H$28,IF(AND(M18&gt;0,[3]EvaluaciónRiesgoCorrup!$F$11&lt;51,F18=4,H18=10),$J$28,IF(AND(M18&gt;0,[3]EvaluaciónRiesgoCorrup!$F$11&lt;51,F18=4,H18=20),K$28," ")))</f>
        <v xml:space="preserve"> </v>
      </c>
      <c r="AW18" s="28" t="str">
        <f>IF(AND(M18&gt;0,[3]EvaluaciónRiesgoCorrup!$F$11&lt;51,F18=5,H18=5),$H$29,IF(AND(M18&gt;0,[3]EvaluaciónRiesgoCorrup!$F$11&lt;51,F18=5,H18=10),$J$29,IF(AND(M18&gt;0,[3]EvaluaciónRiesgoCorrup!$F$11&lt;51,F18=5,H18=20),K$29," ")))</f>
        <v xml:space="preserve"> </v>
      </c>
      <c r="BA18" s="28" t="str">
        <f>IF(AND(N18&gt;0,[3]EvaluaciónRiesgoCorrup!$F$11&gt;75,F18=1,H18=5),$H$25,IF(AND(N18&gt;0,[3]EvaluaciónRiesgoCorrup!$F$11&gt;75,F18=1,H18=10),$H$25,IF(AND(N18&gt;0,[3]EvaluaciónRiesgoCorrup!$F$11&gt;75,F18=1,H18=20),$H$25," ")))</f>
        <v xml:space="preserve"> </v>
      </c>
      <c r="BB18" s="28" t="str">
        <f>IF(AND(N18&gt;0,[3]EvaluaciónRiesgoCorrup!$F$11&gt;75,F18=2,H18=5),$H$26,IF(AND(N18&gt;0,[3]EvaluaciónRiesgoCorrup!$F$11&gt;75,F18=2,H18=10),$H$26,IF(AND(N18&gt;0,[3]EvaluaciónRiesgoCorrup!$F$11&gt;75,F18=2,H18=20),$H$26," ")))</f>
        <v xml:space="preserve"> </v>
      </c>
      <c r="BC18" s="28" t="str">
        <f>IF(AND(N18&gt;0,[3]EvaluaciónRiesgoCorrup!$F$11&gt;75,F18=3,H18=5),$H$27,IF(AND(N18&gt;0,[3]EvaluaciónRiesgoCorrup!$F$11&gt;75,F18=3,H18=10),$H$27,IF(AND(N18&gt;0,[3]EvaluaciónRiesgoCorrup!$F$11&gt;75,F18=3,H18=20),$H$27," ")))</f>
        <v xml:space="preserve"> </v>
      </c>
      <c r="BD18" s="28" t="str">
        <f>IF(AND(N18&gt;0,[3]EvaluaciónRiesgoCorrup!$F$11&gt;75,F18=4,H18=5),$H$28,IF(AND(N18&gt;0,[3]EvaluaciónRiesgoCorrup!$F$11&gt;75,F18=4,H18=10),$H$28,IF(AND(N18&gt;0,[3]EvaluaciónRiesgoCorrup!$F$11&gt;75,F18=4,H18=20),$H$28," ")))</f>
        <v xml:space="preserve"> </v>
      </c>
      <c r="BE18" s="28" t="str">
        <f>IF(AND(N18&gt;0,[3]EvaluaciónRiesgoCorrup!$F$11&gt;75,F18=5,H18=5),$H$29,IF(AND(N18&gt;0,[3]EvaluaciónRiesgoCorrup!$F$11&gt;75,F18=5,H18=10),$H$29,IF(AND(N18&gt;0,[3]EvaluaciónRiesgoCorrup!$F$11&gt;75,F18=5,H18=20),$H$29," ")))</f>
        <v xml:space="preserve"> </v>
      </c>
      <c r="BH18" s="28" t="str">
        <f>IF(AND(N18&gt;0,[3]EvaluaciónRiesgoCorrup!$F$11&gt;50,[3]EvaluaciónRiesgoCorrup!$F$11&lt;76,F18=1,H18=5),$H$25,IF(AND(N18&gt;0,[3]EvaluaciónRiesgoCorrup!$F$11&gt;50,[3]EvaluaciónRiesgoCorrup!$F$11&lt;76,F18=1,H18=10),$H$25,IF(AND(N18&gt;0,[3]EvaluaciónRiesgoCorrup!$F$11&gt;50,[3]EvaluaciónRiesgoCorrup!$F$11&lt;76,F18=1,H18=20),$J$25," ")))</f>
        <v xml:space="preserve"> </v>
      </c>
      <c r="BI18" s="28" t="str">
        <f>IF(AND(N18&gt;0,[3]EvaluaciónRiesgoCorrup!$F$11&gt;50,[3]EvaluaciónRiesgoCorrup!$F$11&lt;76,F18=2,H18=5),$H$26,IF(AND(N18&gt;0,[3]EvaluaciónRiesgoCorrup!$F$11&gt;50,[3]EvaluaciónRiesgoCorrup!$F$11&lt;76,F18=2,H18=10),$H$26,IF(AND(N18&gt;0,[3]EvaluaciónRiesgoCorrup!$F$11&gt;50,[3]EvaluaciónRiesgoCorrup!$F$11&lt;76,F18=2,H18=20),$J$26," ")))</f>
        <v xml:space="preserve"> </v>
      </c>
      <c r="BJ18" s="28" t="str">
        <f>IF(AND(N18&gt;0,[3]EvaluaciónRiesgoCorrup!$F$11&gt;50,[3]EvaluaciónRiesgoCorrup!$F$11&lt;76,F18=3,H18=5),$H$27,IF(AND(N18&gt;0,[3]EvaluaciónRiesgoCorrup!$F$11&gt;50,[3]EvaluaciónRiesgoCorrup!$F$11&lt;76,F18=3,H18=10),$H$27,IF(AND(N18&gt;0,[3]EvaluaciónRiesgoCorrup!$F$11&gt;50,[3]EvaluaciónRiesgoCorrup!$F$11&lt;76,F18=3,H18=20),$J$27," ")))</f>
        <v xml:space="preserve"> </v>
      </c>
      <c r="BK18" s="28" t="str">
        <f>IF(AND(N18&gt;0,[3]EvaluaciónRiesgoCorrup!$F$11&gt;50,[3]EvaluaciónRiesgoCorrup!$F$11&lt;76,F18=4,H18=5),$H$28,IF(AND(N18&gt;0,[3]EvaluaciónRiesgoCorrup!$F$11&gt;50,[3]EvaluaciónRiesgoCorrup!$F$11&lt;76,F18=4,H18=10),$H$28,IF(AND(N18&gt;0,[3]EvaluaciónRiesgoCorrup!$F$11&gt;50,[3]EvaluaciónRiesgoCorrup!$F$11&lt;76,F18=4,H18=20),$J$28," ")))</f>
        <v xml:space="preserve"> </v>
      </c>
      <c r="BL18" s="28" t="str">
        <f>IF(AND(N18&gt;0,[3]EvaluaciónRiesgoCorrup!$F$11&gt;50,[3]EvaluaciónRiesgoCorrup!$F$11&lt;76,F18=5,H18=5),$H$29,IF(AND(N18&gt;0,[3]EvaluaciónRiesgoCorrup!$F$11&gt;50,[3]EvaluaciónRiesgoCorrup!$F$11&lt;76,F18=5,H18=10),$H$29,IF(AND(N18&gt;0,[3]EvaluaciónRiesgoCorrup!$F$11&gt;50,[3]EvaluaciónRiesgoCorrup!$F$11&lt;76,F18=5,H18=20),$J$29," ")))</f>
        <v xml:space="preserve"> </v>
      </c>
      <c r="BO18" s="28" t="str">
        <f>IF(AND(N18&gt;0,[3]EvaluaciónRiesgoCorrup!$F$11&lt;51,F18=1,H18=5),$H$25,IF(AND(N18&gt;0,[3]EvaluaciónRiesgoCorrup!$F$11&lt;51,F18=1,H18=10),$J$25,IF(AND(N18&gt;0,[3]EvaluaciónRiesgoCorrup!$F$11&lt;51,F18=1,H18=20),$K$25," ")))</f>
        <v xml:space="preserve"> </v>
      </c>
      <c r="BP18" s="28" t="str">
        <f>IF(AND(N18&gt;0,[3]EvaluaciónRiesgoCorrup!$F$11&lt;51,F18=2,H18=5),$H$26,IF(AND(N18&gt;0,[3]EvaluaciónRiesgoCorrup!$F$11&lt;51,F18=2,H18=10),$J$26,IF(AND(N18&gt;0,[3]EvaluaciónRiesgoCorrup!$F$11&lt;51,F18=2,H18=20),$K$26," ")))</f>
        <v xml:space="preserve"> </v>
      </c>
      <c r="BQ18" s="28" t="str">
        <f>IF(AND(N18&gt;0,[3]EvaluaciónRiesgoCorrup!$F$11&lt;51,F18=3,H18=5),$H$27,IF(AND(N18&gt;0,[3]EvaluaciónRiesgoCorrup!$F$11&lt;51,F18=3,H18=10),$J$27,IF(AND(N18&gt;0,[3]EvaluaciónRiesgoCorrup!$F$11&lt;51,F18=3,H18=20),$K$27," ")))</f>
        <v xml:space="preserve"> </v>
      </c>
      <c r="BR18" s="28" t="str">
        <f>IF(AND(N18&gt;0,[3]EvaluaciónRiesgoCorrup!$F$11&lt;51,F18=4,H18=5),$H$28,IF(AND(N18&gt;0,[3]EvaluaciónRiesgoCorrup!$F$11&lt;51,F18=4,H18=10),$J$28,IF(AND(N18&gt;0,[3]EvaluaciónRiesgoCorrup!$F$11&lt;51,F18=4,H18=20),$K$28," ")))</f>
        <v xml:space="preserve"> </v>
      </c>
      <c r="BS18" s="28" t="str">
        <f>IF(AND(N18&gt;0,[3]EvaluaciónRiesgoCorrup!$F$11&lt;51,F18=5,H18=5),$H$29,IF(AND(N18&gt;0,[3]EvaluaciónRiesgoCorrup!$F$11&lt;51,F18=5,H18=10),$J$29,IF(AND(N18&gt;0,[3]EvaluaciónRiesgoCorrup!$F$11&lt;51,F18=5,H18=20),$K$29," ")))</f>
        <v xml:space="preserve"> </v>
      </c>
    </row>
    <row r="19" spans="1:71" ht="198.75" customHeight="1" x14ac:dyDescent="0.35">
      <c r="A19" s="856" t="str">
        <f>IF(ISTEXT([4]IdentificaciónRiesgos!$B8),[4]IdentificaciónRiesgos!$A8,"")</f>
        <v>Tiempo de resago de información en los procesos de verificación y validación.
Deficiencia en los procesos y procedimientos para la gestión de datos e información.</v>
      </c>
      <c r="B19" s="581" t="str">
        <f>IF(ISTEXT([4]IdentificaciónRiesgos!$B8),[4]IdentificaciónRiesgos!$B8,"")</f>
        <v>Suministro información hidrometeorológica y ambiental para beneficio particular.</v>
      </c>
      <c r="C19" s="856" t="str">
        <f>IF(ISTEXT([4]IdentificaciónRiesgos!$B8),[4]IdentificaciónRiesgos!$C8,"")</f>
        <v>Suministro por parte de los funcionarios no autorizados de información hidrometeorológica y ambiental por fuera de los canales establecidos para tal fin, para beneficio particular.</v>
      </c>
      <c r="D19" s="856" t="str">
        <f>IF(ISTEXT([4]IdentificaciónRiesgos!$B8),[4]IdentificaciónRiesgos!$D8,"")</f>
        <v xml:space="preserve">Divulgación de información sin verificación y validación.
Procesos disciplinarios.
Acciones legales contra el Instituto .  
Perdida de credibilidad del Instituto. </v>
      </c>
      <c r="E19" s="850" t="str">
        <f>IF(ISTEXT([4]IdentificaciónRiesgos!$B8),VLOOKUP($C19,[4]DefiniciónRiesgos!$A$4:$F$9,6,FALSE),"")</f>
        <v>RIESGO DE CORRUPCIÓN</v>
      </c>
      <c r="F19" s="851">
        <f>IF(ISTEXT([4]IdentificaciónRiesgos!$B8),IF(EXACT([4]AnálisisRiesgos!$B11,"X"),5,IF(EXACT([4]AnálisisRiesgos!$C11,"X"),4,IF(EXACT([4]AnálisisRiesgos!$D11,"X"),3,IF(EXACT([4]AnálisisRiesgos!$E11,"X"),2,IF(EXACT([4]AnálisisRiesgos!$F11,"X"),1,""))))),"")</f>
        <v>2</v>
      </c>
      <c r="G19" s="851" t="str">
        <f t="shared" si="0"/>
        <v>Improbable</v>
      </c>
      <c r="H19" s="852">
        <f>IF(EXACT($B19,""),"",IF(EXACT($E19,"RIESGO DE GESTIÓN"),IF(EXACT([4]AnálisisRiesgos!$G11,"X"),5,IF(EXACT([4]AnálisisRiesgos!$H11,"X"),4,IF(EXACT([4]AnálisisRiesgos!$I11,"X"),3,IF(EXACT([4]AnálisisRiesgos!$J11,"X"),2,1)))),IF(EXACT([4]AnálisisRiesgos!$L11,"X"),20,IF(EXACT([4]AnálisisRiesgos!$M11,"X"),10,5))))</f>
        <v>5</v>
      </c>
      <c r="I19" s="852" t="str">
        <f t="shared" si="1"/>
        <v>Moderado</v>
      </c>
      <c r="J19" s="23" t="str">
        <f>CONCATENATE(Y19,Z19,AA19,AB19,AC19)</f>
        <v xml:space="preserve"> B   </v>
      </c>
      <c r="K19" s="580" t="s">
        <v>79</v>
      </c>
      <c r="L19" s="1067" t="s">
        <v>26</v>
      </c>
      <c r="M19" s="1068"/>
      <c r="N19" s="26"/>
      <c r="O19" s="853" t="s">
        <v>48</v>
      </c>
      <c r="P19" s="854" t="s">
        <v>211</v>
      </c>
      <c r="Q19" s="855" t="s">
        <v>80</v>
      </c>
      <c r="R19" s="579" t="s">
        <v>81</v>
      </c>
      <c r="S19" s="544" t="s">
        <v>82</v>
      </c>
      <c r="T19" s="857">
        <v>42947</v>
      </c>
      <c r="U19" s="695" t="s">
        <v>529</v>
      </c>
      <c r="V19" s="858" t="s">
        <v>530</v>
      </c>
      <c r="W19" s="743" t="s">
        <v>531</v>
      </c>
      <c r="Y19" s="28" t="str">
        <f>IF(AND(F19=1,H19=5),$H$25,IF(AND(F19=1,H19=10),$J$25,IF(AND(F19=1,H19=20),$K$25," ")))</f>
        <v xml:space="preserve"> </v>
      </c>
      <c r="Z19" s="28" t="str">
        <f>IF(AND(F19=2,H19=5),$H$26,IF(AND(F19=2,H19=10),$J$26,IF(AND(F19=2,H19=20),$K$26," ")))</f>
        <v>B</v>
      </c>
      <c r="AA19" s="28" t="str">
        <f>IF(AND(F19=3,H19=5),$H$27,IF(AND(F19=3,H19=10),$J$27,IF(AND(F19=3,H19=20),$K$27," ")))</f>
        <v xml:space="preserve"> </v>
      </c>
      <c r="AB19" s="28" t="str">
        <f>IF(AND(F19=4,H19=5),$H$28,IF(AND(F19=4,H19=10),$J$28,IF(AND(F19=4,H19=20),$K$28," ")))</f>
        <v xml:space="preserve"> </v>
      </c>
      <c r="AC19" s="28" t="str">
        <f>IF(AND(F19=5,H19=5),$H$29,IF(AND(F19=5,H19=10),$J$29,IF(AND(F19=5,H19=20),$K$29," ")))</f>
        <v xml:space="preserve"> </v>
      </c>
      <c r="AF19" s="28" t="str">
        <f>IF(AND(M19&gt;0,[3]EvaluaciónRiesgoCorrup!$F$11&gt;75,F19=1,H19=5),$H$25,IF(AND(M19&gt;0,[3]EvaluaciónRiesgoCorrup!$F$11&gt;75,F19=1,H19=10),$J$25,IF(AND(M19&gt;0,[3]EvaluaciónRiesgoCorrup!$F$11&gt;75,F19=1,H19=20),$K$25," ")))</f>
        <v xml:space="preserve"> </v>
      </c>
      <c r="AG19" s="28" t="str">
        <f>IF(AND(M19&gt;0,[3]EvaluaciónRiesgoCorrup!$F$11&gt;75,F19=2,H19=5),$H$25,IF(AND(M19&gt;0,[3]EvaluaciónRiesgoCorrup!$F$11&gt;75,F19=2,H19=10),$J$25,IF(AND(M19&gt;0,[3]EvaluaciónRiesgoCorrup!$F$11&gt;75,F19=2,H19=20),$K$25," ")))</f>
        <v xml:space="preserve"> </v>
      </c>
      <c r="AH19" s="28" t="str">
        <f>IF(AND(M19&gt;0,[3]EvaluaciónRiesgoCorrup!$F$11&gt;75,F19=3,H19=5),$H$25,IF(AND(M19&gt;0,[3]EvaluaciónRiesgoCorrup!$F$11&gt;75,F19=3,H19=10),$J$25,IF(AND(M19&gt;0,[3]EvaluaciónRiesgoCorrup!$F$11&gt;75,F19=3,H19=20),$K$25," ")))</f>
        <v xml:space="preserve"> </v>
      </c>
      <c r="AI19" s="28" t="str">
        <f>IF(AND(M19&gt;0,[3]EvaluaciónRiesgoCorrup!$F$11&gt;75,F19=4,H19=5),$H$26,IF(AND(M19&gt;0,[3]EvaluaciónRiesgoCorrup!$F$11&gt;75,F19=4,H19=10),$J$26,IF(AND(M19&gt;0,[3]EvaluaciónRiesgoCorrup!$F$11&gt;75,F19=4,H19=20),$K$26," ")))</f>
        <v xml:space="preserve"> </v>
      </c>
      <c r="AJ19" s="28" t="str">
        <f>IF(AND(M19&gt;0,[3]EvaluaciónRiesgoCorrup!$F$11&gt;75,F19=5,H19=5),$H$27,IF(AND(M19&gt;0,[3]EvaluaciónRiesgoCorrup!$F$11&gt;75,F19=5,H19=10),$J$27,IF(AND(M19&gt;0,[3]EvaluaciónRiesgoCorrup!$F$11&gt;75,F19=5,H19=20),$K$27," ")))</f>
        <v xml:space="preserve"> </v>
      </c>
      <c r="AL19" s="28" t="str">
        <f>IF(AND(M19&gt;0,[3]EvaluaciónRiesgoCorrup!$F$11&gt;50,[3]EvaluaciónRiesgoCorrup!$F$11&lt;76,F19=1,H19=5),$H$25,IF(AND(M19&gt;0,[3]EvaluaciónRiesgoCorrup!$F$11&gt;50,[3]EvaluaciónRiesgoCorrup!$F$11&lt;76,F19=1,H19=10),$J$25,IF(AND(M19&gt;0,[3]EvaluaciónRiesgoCorrup!$F$11&gt;50,[3]EvaluaciónRiesgoCorrup!$F$11&lt;76,F19=1,H19=20),$K$25," ")))</f>
        <v xml:space="preserve"> </v>
      </c>
      <c r="AM19" s="28" t="str">
        <f>IF(AND(M19&gt;0,[3]EvaluaciónRiesgoCorrup!$F$11&gt;50,[3]EvaluaciónRiesgoCorrup!$F$11&lt;76,F19=2,H19=5),$H$25,IF(AND(M19&gt;0,[3]EvaluaciónRiesgoCorrup!$F$11&gt;50,[3]EvaluaciónRiesgoCorrup!$F$11&lt;76,F19=2,H19=10),$J$25,IF(AND(M19&gt;0,[3]EvaluaciónRiesgoCorrup!$F$11&gt;50,[3]EvaluaciónRiesgoCorrup!$F$11&lt;76,F19=2,H19=20),$K$25," ")))</f>
        <v xml:space="preserve"> </v>
      </c>
      <c r="AN19" s="28" t="str">
        <f>IF(AND(M19&gt;0,[3]EvaluaciónRiesgoCorrup!$F$11&gt;50,[3]EvaluaciónRiesgoCorrup!$F$11&lt;76,F19=3,H19=5),$H$26,IF(AND(M19&gt;0,[3]EvaluaciónRiesgoCorrup!$F$11&gt;50,[3]EvaluaciónRiesgoCorrup!$F$11&lt;76,F19=3,H19=10),$J$26,IF(AND(M19&gt;0,[3]EvaluaciónRiesgoCorrup!$F$11&gt;50,[3]EvaluaciónRiesgoCorrup!$F$11&lt;76,F19=3,H19=20),$K$26," ")))</f>
        <v xml:space="preserve"> </v>
      </c>
      <c r="AO19" s="28" t="str">
        <f>IF(AND(M19&gt;0,[3]EvaluaciónRiesgoCorrup!$F$11&gt;50,[3]EvaluaciónRiesgoCorrup!$F$11&lt;76,F19=4,H19=5),$H$27,IF(AND(M19&gt;0,[3]EvaluaciónRiesgoCorrup!$F$11&gt;50,[3]EvaluaciónRiesgoCorrup!$F$11&lt;76,F19=4,H19=10),$J$27,IF(AND(M19&gt;0,[3]EvaluaciónRiesgoCorrup!$F$11&gt;50,[3]EvaluaciónRiesgoCorrup!$F$11&lt;76,F19=4,H19=20),$K$27," ")))</f>
        <v xml:space="preserve"> </v>
      </c>
      <c r="AP19" s="28" t="str">
        <f>IF(AND(M19&gt;0,[3]EvaluaciónRiesgoCorrup!$F$11&gt;50,[3]EvaluaciónRiesgoCorrup!$F$11&lt;76,F19=5,H19=5),$H$28,IF(AND(M19&gt;0,[3]EvaluaciónRiesgoCorrup!$F$11&gt;50,[3]EvaluaciónRiesgoCorrup!$F$11&lt;76,F19=5,H19=10),$J$28,IF(AND(M19&gt;0,[3]EvaluaciónRiesgoCorrup!$F$11&gt;50,[3]EvaluaciónRiesgoCorrup!$F$11&lt;76,F19=5,H19=20),$K$28," ")))</f>
        <v xml:space="preserve"> </v>
      </c>
      <c r="AS19" s="28" t="str">
        <f>IF(AND(M19&gt;0,[3]EvaluaciónRiesgoCorrup!$F$11&lt;51,F19=1,H19=5),$H$25,IF(AND(M19&gt;0,[3]EvaluaciónRiesgoCorrup!$F$11&lt;51,F19=1,H19=10),$J$25,IF(AND(M19&gt;0,[3]EvaluaciónRiesgoCorrup!$F$11&lt;51,F19=1,H19=20),K$25," ")))</f>
        <v xml:space="preserve"> </v>
      </c>
      <c r="AT19" s="28" t="str">
        <f>IF(AND(M19&gt;0,[3]EvaluaciónRiesgoCorrup!$F$11&lt;51,F19=2,H19=5),$H$26,IF(AND(M19&gt;0,[3]EvaluaciónRiesgoCorrup!$F$11&lt;51,F19=2,H19=10),$J$26,IF(AND(M19&gt;0,[3]EvaluaciónRiesgoCorrup!$F$11&lt;51,F19=2,H19=20),K$26," ")))</f>
        <v xml:space="preserve"> </v>
      </c>
      <c r="AU19" s="28" t="str">
        <f>IF(AND(M19&gt;0,[3]EvaluaciónRiesgoCorrup!$F$11&lt;51,F19=3,H19=5),$H$27,IF(AND(M19&gt;0,[3]EvaluaciónRiesgoCorrup!$F$11&lt;51,F19=3,H19=10),$J$27,IF(AND(M19&gt;0,[3]EvaluaciónRiesgoCorrup!$F$11&lt;51,F19=3,H19=20),K$27," ")))</f>
        <v xml:space="preserve"> </v>
      </c>
      <c r="AV19" s="28" t="str">
        <f>IF(AND(M19&gt;0,[3]EvaluaciónRiesgoCorrup!$F$11&lt;51,F19=4,H19=5),$H$28,IF(AND(M19&gt;0,[3]EvaluaciónRiesgoCorrup!$F$11&lt;51,F19=4,H19=10),$J$28,IF(AND(M19&gt;0,[3]EvaluaciónRiesgoCorrup!$F$11&lt;51,F19=4,H19=20),K$28," ")))</f>
        <v xml:space="preserve"> </v>
      </c>
      <c r="AW19" s="28" t="str">
        <f>IF(AND(M19&gt;0,[3]EvaluaciónRiesgoCorrup!$F$11&lt;51,F19=5,H19=5),$H$29,IF(AND(M19&gt;0,[3]EvaluaciónRiesgoCorrup!$F$11&lt;51,F19=5,H19=10),$J$29,IF(AND(M19&gt;0,[3]EvaluaciónRiesgoCorrup!$F$11&lt;51,F19=5,H19=20),K$29," ")))</f>
        <v xml:space="preserve"> </v>
      </c>
      <c r="BA19" s="28" t="str">
        <f>IF(AND(N19&gt;0,[3]EvaluaciónRiesgoCorrup!$F$11&gt;75,F19=1,H19=5),$H$25,IF(AND(N19&gt;0,[3]EvaluaciónRiesgoCorrup!$F$11&gt;75,F19=1,H19=10),$H$25,IF(AND(N19&gt;0,[3]EvaluaciónRiesgoCorrup!$F$11&gt;75,F19=1,H19=20),$H$25," ")))</f>
        <v xml:space="preserve"> </v>
      </c>
      <c r="BB19" s="28" t="str">
        <f>IF(AND(N19&gt;0,[3]EvaluaciónRiesgoCorrup!$F$11&gt;75,F19=2,H19=5),$H$26,IF(AND(N19&gt;0,[3]EvaluaciónRiesgoCorrup!$F$11&gt;75,F19=2,H19=10),$H$26,IF(AND(N19&gt;0,[3]EvaluaciónRiesgoCorrup!$F$11&gt;75,F19=2,H19=20),$H$26," ")))</f>
        <v xml:space="preserve"> </v>
      </c>
      <c r="BC19" s="28" t="str">
        <f>IF(AND(N19&gt;0,[3]EvaluaciónRiesgoCorrup!$F$11&gt;75,F19=3,H19=5),$H$27,IF(AND(N19&gt;0,[3]EvaluaciónRiesgoCorrup!$F$11&gt;75,F19=3,H19=10),$H$27,IF(AND(N19&gt;0,[3]EvaluaciónRiesgoCorrup!$F$11&gt;75,F19=3,H19=20),$H$27," ")))</f>
        <v xml:space="preserve"> </v>
      </c>
      <c r="BD19" s="28" t="str">
        <f>IF(AND(N19&gt;0,[3]EvaluaciónRiesgoCorrup!$F$11&gt;75,F19=4,H19=5),$H$28,IF(AND(N19&gt;0,[3]EvaluaciónRiesgoCorrup!$F$11&gt;75,F19=4,H19=10),$H$28,IF(AND(N19&gt;0,[3]EvaluaciónRiesgoCorrup!$F$11&gt;75,F19=4,H19=20),$H$28," ")))</f>
        <v xml:space="preserve"> </v>
      </c>
      <c r="BE19" s="28" t="str">
        <f>IF(AND(N19&gt;0,[3]EvaluaciónRiesgoCorrup!$F$11&gt;75,F19=5,H19=5),$H$29,IF(AND(N19&gt;0,[3]EvaluaciónRiesgoCorrup!$F$11&gt;75,F19=5,H19=10),$H$29,IF(AND(N19&gt;0,[3]EvaluaciónRiesgoCorrup!$F$11&gt;75,F19=5,H19=20),$H$29," ")))</f>
        <v xml:space="preserve"> </v>
      </c>
      <c r="BH19" s="28" t="str">
        <f>IF(AND(N19&gt;0,[3]EvaluaciónRiesgoCorrup!$F$11&gt;50,[3]EvaluaciónRiesgoCorrup!$F$11&lt;76,F19=1,H19=5),$H$25,IF(AND(N19&gt;0,[3]EvaluaciónRiesgoCorrup!$F$11&gt;50,[3]EvaluaciónRiesgoCorrup!$F$11&lt;76,F19=1,H19=10),$H$25,IF(AND(N19&gt;0,[3]EvaluaciónRiesgoCorrup!$F$11&gt;50,[3]EvaluaciónRiesgoCorrup!$F$11&lt;76,F19=1,H19=20),$J$25," ")))</f>
        <v xml:space="preserve"> </v>
      </c>
      <c r="BI19" s="28" t="str">
        <f>IF(AND(N19&gt;0,[3]EvaluaciónRiesgoCorrup!$F$11&gt;50,[3]EvaluaciónRiesgoCorrup!$F$11&lt;76,F19=2,H19=5),$H$26,IF(AND(N19&gt;0,[3]EvaluaciónRiesgoCorrup!$F$11&gt;50,[3]EvaluaciónRiesgoCorrup!$F$11&lt;76,F19=2,H19=10),$H$26,IF(AND(N19&gt;0,[3]EvaluaciónRiesgoCorrup!$F$11&gt;50,[3]EvaluaciónRiesgoCorrup!$F$11&lt;76,F19=2,H19=20),$J$26," ")))</f>
        <v xml:space="preserve"> </v>
      </c>
      <c r="BJ19" s="28" t="str">
        <f>IF(AND(N19&gt;0,[3]EvaluaciónRiesgoCorrup!$F$11&gt;50,[3]EvaluaciónRiesgoCorrup!$F$11&lt;76,F19=3,H19=5),$H$27,IF(AND(N19&gt;0,[3]EvaluaciónRiesgoCorrup!$F$11&gt;50,[3]EvaluaciónRiesgoCorrup!$F$11&lt;76,F19=3,H19=10),$H$27,IF(AND(N19&gt;0,[3]EvaluaciónRiesgoCorrup!$F$11&gt;50,[3]EvaluaciónRiesgoCorrup!$F$11&lt;76,F19=3,H19=20),$J$27," ")))</f>
        <v xml:space="preserve"> </v>
      </c>
      <c r="BK19" s="28" t="str">
        <f>IF(AND(N19&gt;0,[3]EvaluaciónRiesgoCorrup!$F$11&gt;50,[3]EvaluaciónRiesgoCorrup!$F$11&lt;76,F19=4,H19=5),$H$28,IF(AND(N19&gt;0,[3]EvaluaciónRiesgoCorrup!$F$11&gt;50,[3]EvaluaciónRiesgoCorrup!$F$11&lt;76,F19=4,H19=10),$H$28,IF(AND(N19&gt;0,[3]EvaluaciónRiesgoCorrup!$F$11&gt;50,[3]EvaluaciónRiesgoCorrup!$F$11&lt;76,F19=4,H19=20),$J$28," ")))</f>
        <v xml:space="preserve"> </v>
      </c>
      <c r="BL19" s="28" t="str">
        <f>IF(AND(N19&gt;0,[3]EvaluaciónRiesgoCorrup!$F$11&gt;50,[3]EvaluaciónRiesgoCorrup!$F$11&lt;76,F19=5,H19=5),$H$29,IF(AND(N19&gt;0,[3]EvaluaciónRiesgoCorrup!$F$11&gt;50,[3]EvaluaciónRiesgoCorrup!$F$11&lt;76,F19=5,H19=10),$H$29,IF(AND(N19&gt;0,[3]EvaluaciónRiesgoCorrup!$F$11&gt;50,[3]EvaluaciónRiesgoCorrup!$F$11&lt;76,F19=5,H19=20),$J$29," ")))</f>
        <v xml:space="preserve"> </v>
      </c>
      <c r="BO19" s="28" t="str">
        <f>IF(AND(N19&gt;0,[3]EvaluaciónRiesgoCorrup!$F$11&lt;51,F19=1,H19=5),$H$25,IF(AND(N19&gt;0,[3]EvaluaciónRiesgoCorrup!$F$11&lt;51,F19=1,H19=10),$J$25,IF(AND(N19&gt;0,[3]EvaluaciónRiesgoCorrup!$F$11&lt;51,F19=1,H19=20),$K$25," ")))</f>
        <v xml:space="preserve"> </v>
      </c>
      <c r="BP19" s="28" t="str">
        <f>IF(AND(N19&gt;0,[3]EvaluaciónRiesgoCorrup!$F$11&lt;51,F19=2,H19=5),$H$26,IF(AND(N19&gt;0,[3]EvaluaciónRiesgoCorrup!$F$11&lt;51,F19=2,H19=10),$J$26,IF(AND(N19&gt;0,[3]EvaluaciónRiesgoCorrup!$F$11&lt;51,F19=2,H19=20),$K$26," ")))</f>
        <v xml:space="preserve"> </v>
      </c>
      <c r="BQ19" s="28" t="str">
        <f>IF(AND(N19&gt;0,[3]EvaluaciónRiesgoCorrup!$F$11&lt;51,F19=3,H19=5),$H$27,IF(AND(N19&gt;0,[3]EvaluaciónRiesgoCorrup!$F$11&lt;51,F19=3,H19=10),$J$27,IF(AND(N19&gt;0,[3]EvaluaciónRiesgoCorrup!$F$11&lt;51,F19=3,H19=20),$K$27," ")))</f>
        <v xml:space="preserve"> </v>
      </c>
      <c r="BR19" s="28" t="str">
        <f>IF(AND(N19&gt;0,[3]EvaluaciónRiesgoCorrup!$F$11&lt;51,F19=4,H19=5),$H$28,IF(AND(N19&gt;0,[3]EvaluaciónRiesgoCorrup!$F$11&lt;51,F19=4,H19=10),$J$28,IF(AND(N19&gt;0,[3]EvaluaciónRiesgoCorrup!$F$11&lt;51,F19=4,H19=20),$K$28," ")))</f>
        <v xml:space="preserve"> </v>
      </c>
      <c r="BS19" s="28" t="str">
        <f>IF(AND(N19&gt;0,[3]EvaluaciónRiesgoCorrup!$F$11&lt;51,F19=5,H19=5),$H$29,IF(AND(N19&gt;0,[3]EvaluaciónRiesgoCorrup!$F$11&lt;51,F19=5,H19=10),$J$29,IF(AND(N19&gt;0,[3]EvaluaciónRiesgoCorrup!$F$11&lt;51,F19=5,H19=20),$K$29," ")))</f>
        <v xml:space="preserve"> </v>
      </c>
    </row>
    <row r="20" spans="1:71" ht="69" customHeight="1" x14ac:dyDescent="0.35">
      <c r="A20" s="48"/>
      <c r="B20" s="22"/>
      <c r="C20" s="408"/>
      <c r="D20" s="22"/>
      <c r="E20" s="99"/>
    </row>
    <row r="21" spans="1:71" x14ac:dyDescent="0.35">
      <c r="A21" s="28"/>
      <c r="B21" s="30"/>
      <c r="C21" s="410"/>
      <c r="D21" s="30"/>
      <c r="E21" s="423"/>
    </row>
    <row r="22" spans="1:71" ht="14.5" thickBot="1" x14ac:dyDescent="0.4">
      <c r="A22" s="28"/>
      <c r="B22" s="30"/>
      <c r="C22" s="410"/>
      <c r="D22" s="30"/>
      <c r="E22" s="423"/>
      <c r="H22" s="32"/>
      <c r="I22" s="424"/>
      <c r="J22" s="32"/>
    </row>
    <row r="23" spans="1:71" ht="14.5" thickBot="1" x14ac:dyDescent="0.4">
      <c r="A23" s="6"/>
      <c r="B23" s="33"/>
      <c r="C23" s="423"/>
      <c r="D23" s="33"/>
      <c r="E23" s="423"/>
      <c r="F23" s="1019" t="s">
        <v>26</v>
      </c>
      <c r="G23" s="84"/>
      <c r="H23" s="1021" t="s">
        <v>10</v>
      </c>
      <c r="I23" s="1021"/>
      <c r="J23" s="1021"/>
      <c r="K23" s="1022"/>
      <c r="L23" s="106"/>
      <c r="M23" s="2"/>
      <c r="R23" s="5"/>
      <c r="T23" s="2"/>
    </row>
    <row r="24" spans="1:71" ht="32.25" customHeight="1" thickBot="1" x14ac:dyDescent="0.4">
      <c r="A24" s="5"/>
      <c r="B24" s="34" t="s">
        <v>42</v>
      </c>
      <c r="C24" s="411"/>
      <c r="D24" s="34"/>
      <c r="E24" s="411"/>
      <c r="F24" s="1020"/>
      <c r="G24" s="889"/>
      <c r="H24" s="35" t="s">
        <v>43</v>
      </c>
      <c r="I24" s="412"/>
      <c r="J24" s="36" t="s">
        <v>44</v>
      </c>
      <c r="K24" s="35" t="s">
        <v>45</v>
      </c>
      <c r="L24" s="109"/>
      <c r="M24" s="2"/>
      <c r="R24" s="5"/>
      <c r="T24" s="2"/>
    </row>
    <row r="25" spans="1:71" ht="14.5" thickBot="1" x14ac:dyDescent="0.4">
      <c r="B25" s="5" t="s">
        <v>46</v>
      </c>
      <c r="C25" s="402"/>
      <c r="F25" s="37" t="s">
        <v>47</v>
      </c>
      <c r="G25" s="413"/>
      <c r="H25" s="38" t="s">
        <v>48</v>
      </c>
      <c r="I25" s="414"/>
      <c r="J25" s="38" t="s">
        <v>48</v>
      </c>
      <c r="K25" s="39" t="s">
        <v>49</v>
      </c>
      <c r="L25" s="110"/>
      <c r="M25" s="2"/>
      <c r="R25" s="5"/>
      <c r="T25" s="2"/>
    </row>
    <row r="26" spans="1:71" ht="14.5" thickBot="1" x14ac:dyDescent="0.4">
      <c r="F26" s="37" t="s">
        <v>50</v>
      </c>
      <c r="G26" s="413"/>
      <c r="H26" s="38" t="s">
        <v>48</v>
      </c>
      <c r="I26" s="414"/>
      <c r="J26" s="39" t="s">
        <v>49</v>
      </c>
      <c r="K26" s="40" t="s">
        <v>51</v>
      </c>
      <c r="L26" s="111"/>
      <c r="M26" s="2"/>
      <c r="R26" s="5"/>
      <c r="T26" s="2"/>
    </row>
    <row r="27" spans="1:71" ht="14.5" thickBot="1" x14ac:dyDescent="0.4">
      <c r="F27" s="37" t="s">
        <v>52</v>
      </c>
      <c r="G27" s="413"/>
      <c r="H27" s="39" t="s">
        <v>49</v>
      </c>
      <c r="I27" s="415"/>
      <c r="J27" s="40" t="s">
        <v>51</v>
      </c>
      <c r="K27" s="41" t="s">
        <v>53</v>
      </c>
      <c r="L27" s="112"/>
      <c r="M27" s="2"/>
      <c r="R27" s="5"/>
      <c r="T27" s="2"/>
    </row>
    <row r="28" spans="1:71" ht="14.5" thickBot="1" x14ac:dyDescent="0.4">
      <c r="F28" s="37" t="s">
        <v>54</v>
      </c>
      <c r="G28" s="413"/>
      <c r="H28" s="39" t="s">
        <v>49</v>
      </c>
      <c r="I28" s="415"/>
      <c r="J28" s="40" t="s">
        <v>51</v>
      </c>
      <c r="K28" s="41" t="s">
        <v>53</v>
      </c>
      <c r="L28" s="112"/>
      <c r="M28" s="2"/>
      <c r="R28" s="5"/>
      <c r="T28" s="2"/>
    </row>
    <row r="29" spans="1:71" ht="14.5" thickBot="1" x14ac:dyDescent="0.4">
      <c r="F29" s="37" t="s">
        <v>55</v>
      </c>
      <c r="G29" s="413"/>
      <c r="H29" s="39" t="s">
        <v>49</v>
      </c>
      <c r="I29" s="415"/>
      <c r="J29" s="40" t="s">
        <v>51</v>
      </c>
      <c r="K29" s="41" t="s">
        <v>53</v>
      </c>
      <c r="L29" s="112"/>
      <c r="M29" s="2"/>
      <c r="R29" s="5"/>
      <c r="T29" s="2"/>
    </row>
    <row r="30" spans="1:71" x14ac:dyDescent="0.35">
      <c r="F30" s="2"/>
      <c r="G30" s="399"/>
      <c r="H30" s="2"/>
      <c r="I30" s="399"/>
      <c r="J30" s="2"/>
      <c r="K30" s="5"/>
      <c r="L30" s="402"/>
      <c r="N30" s="5"/>
    </row>
    <row r="31" spans="1:71" x14ac:dyDescent="0.35">
      <c r="F31" s="42" t="s">
        <v>56</v>
      </c>
      <c r="G31" s="416"/>
      <c r="H31" s="2"/>
      <c r="I31" s="399"/>
      <c r="J31" s="2"/>
      <c r="K31" s="5"/>
      <c r="L31" s="402"/>
      <c r="N31" s="5"/>
      <c r="O31" s="5"/>
      <c r="P31" s="402"/>
      <c r="Q31" s="5"/>
    </row>
    <row r="32" spans="1:71" x14ac:dyDescent="0.35">
      <c r="F32" s="43" t="s">
        <v>57</v>
      </c>
      <c r="G32" s="417"/>
      <c r="H32" s="2"/>
      <c r="I32" s="399"/>
      <c r="J32" s="2"/>
      <c r="K32" s="5"/>
      <c r="L32" s="402"/>
      <c r="N32" s="5"/>
      <c r="O32" s="5"/>
      <c r="P32" s="402"/>
      <c r="Q32" s="5"/>
    </row>
    <row r="33" spans="6:17" x14ac:dyDescent="0.35">
      <c r="F33" s="44" t="s">
        <v>58</v>
      </c>
      <c r="G33" s="418"/>
      <c r="H33" s="2"/>
      <c r="I33" s="399"/>
      <c r="J33" s="2"/>
      <c r="K33" s="5"/>
      <c r="L33" s="402"/>
      <c r="N33" s="5"/>
      <c r="O33" s="5"/>
      <c r="P33" s="402"/>
      <c r="Q33" s="5"/>
    </row>
    <row r="34" spans="6:17" x14ac:dyDescent="0.35">
      <c r="F34" s="45" t="s">
        <v>59</v>
      </c>
      <c r="G34" s="419"/>
      <c r="H34" s="2"/>
      <c r="I34" s="399"/>
      <c r="J34" s="2"/>
      <c r="K34" s="5"/>
      <c r="L34" s="402"/>
      <c r="N34" s="5"/>
      <c r="O34" s="5"/>
      <c r="P34" s="402"/>
      <c r="Q34" s="5"/>
    </row>
  </sheetData>
  <mergeCells count="37">
    <mergeCell ref="F23:F24"/>
    <mergeCell ref="H23:K23"/>
    <mergeCell ref="Q15:S15"/>
    <mergeCell ref="A12:D12"/>
    <mergeCell ref="AH13:AZ13"/>
    <mergeCell ref="F12:Z12"/>
    <mergeCell ref="L17:M17"/>
    <mergeCell ref="L18:M18"/>
    <mergeCell ref="L19:M19"/>
    <mergeCell ref="U15:U16"/>
    <mergeCell ref="V15:V16"/>
    <mergeCell ref="W15:W16"/>
    <mergeCell ref="BB13:BU13"/>
    <mergeCell ref="A14:D14"/>
    <mergeCell ref="F14:H14"/>
    <mergeCell ref="K14:K16"/>
    <mergeCell ref="M14:O14"/>
    <mergeCell ref="Q14:S14"/>
    <mergeCell ref="T14:W14"/>
    <mergeCell ref="A15:A16"/>
    <mergeCell ref="B15:B16"/>
    <mergeCell ref="D15:D16"/>
    <mergeCell ref="F15:H15"/>
    <mergeCell ref="M15:O15"/>
    <mergeCell ref="T15:T16"/>
    <mergeCell ref="A6:D6"/>
    <mergeCell ref="F6:W6"/>
    <mergeCell ref="A8:D8"/>
    <mergeCell ref="F8:W8"/>
    <mergeCell ref="A10:D10"/>
    <mergeCell ref="F10:W10"/>
    <mergeCell ref="A1:D4"/>
    <mergeCell ref="F1:U4"/>
    <mergeCell ref="V1:W1"/>
    <mergeCell ref="V2:W2"/>
    <mergeCell ref="V3:W3"/>
    <mergeCell ref="V4:W4"/>
  </mergeCells>
  <conditionalFormatting sqref="J19">
    <cfRule type="containsText" dxfId="199" priority="21" operator="containsText" text="E">
      <formula>NOT(ISERROR(SEARCH("E",J19)))</formula>
    </cfRule>
    <cfRule type="containsText" dxfId="198" priority="22" operator="containsText" text="M">
      <formula>NOT(ISERROR(SEARCH("M",J19)))</formula>
    </cfRule>
    <cfRule type="containsText" dxfId="197" priority="23" operator="containsText" text="A">
      <formula>NOT(ISERROR(SEARCH("A",J19)))</formula>
    </cfRule>
    <cfRule type="containsText" dxfId="196" priority="24" operator="containsText" text="B">
      <formula>NOT(ISERROR(SEARCH("B",J19)))</formula>
    </cfRule>
  </conditionalFormatting>
  <conditionalFormatting sqref="J17">
    <cfRule type="containsText" dxfId="195" priority="17" operator="containsText" text="E">
      <formula>NOT(ISERROR(SEARCH("E",J17)))</formula>
    </cfRule>
    <cfRule type="containsText" dxfId="194" priority="18" operator="containsText" text="M">
      <formula>NOT(ISERROR(SEARCH("M",J17)))</formula>
    </cfRule>
    <cfRule type="containsText" dxfId="193" priority="19" operator="containsText" text="A">
      <formula>NOT(ISERROR(SEARCH("A",J17)))</formula>
    </cfRule>
    <cfRule type="containsText" dxfId="192" priority="20" operator="containsText" text="B">
      <formula>NOT(ISERROR(SEARCH("B",J17)))</formula>
    </cfRule>
  </conditionalFormatting>
  <conditionalFormatting sqref="O17">
    <cfRule type="containsText" dxfId="191" priority="13" operator="containsText" text="E">
      <formula>NOT(ISERROR(SEARCH("E",O17)))</formula>
    </cfRule>
    <cfRule type="containsText" dxfId="190" priority="14" operator="containsText" text="M">
      <formula>NOT(ISERROR(SEARCH("M",O17)))</formula>
    </cfRule>
    <cfRule type="containsText" dxfId="189" priority="15" operator="containsText" text="A">
      <formula>NOT(ISERROR(SEARCH("A",O17)))</formula>
    </cfRule>
    <cfRule type="containsText" dxfId="188" priority="16" operator="containsText" text="B">
      <formula>NOT(ISERROR(SEARCH("B",O17)))</formula>
    </cfRule>
  </conditionalFormatting>
  <conditionalFormatting sqref="J18">
    <cfRule type="containsText" dxfId="187" priority="9" operator="containsText" text="E">
      <formula>NOT(ISERROR(SEARCH("E",J18)))</formula>
    </cfRule>
    <cfRule type="containsText" dxfId="186" priority="10" operator="containsText" text="M">
      <formula>NOT(ISERROR(SEARCH("M",J18)))</formula>
    </cfRule>
    <cfRule type="containsText" dxfId="185" priority="11" operator="containsText" text="A">
      <formula>NOT(ISERROR(SEARCH("A",J18)))</formula>
    </cfRule>
    <cfRule type="containsText" dxfId="184" priority="12" operator="containsText" text="B">
      <formula>NOT(ISERROR(SEARCH("B",J18)))</formula>
    </cfRule>
  </conditionalFormatting>
  <conditionalFormatting sqref="O18">
    <cfRule type="containsText" dxfId="183" priority="5" operator="containsText" text="E">
      <formula>NOT(ISERROR(SEARCH("E",O18)))</formula>
    </cfRule>
    <cfRule type="containsText" dxfId="182" priority="6" operator="containsText" text="M">
      <formula>NOT(ISERROR(SEARCH("M",O18)))</formula>
    </cfRule>
    <cfRule type="containsText" dxfId="181" priority="7" operator="containsText" text="A">
      <formula>NOT(ISERROR(SEARCH("A",O18)))</formula>
    </cfRule>
    <cfRule type="containsText" dxfId="180" priority="8" operator="containsText" text="B">
      <formula>NOT(ISERROR(SEARCH("B",O18)))</formula>
    </cfRule>
  </conditionalFormatting>
  <conditionalFormatting sqref="O19">
    <cfRule type="containsText" dxfId="179" priority="1" operator="containsText" text="E">
      <formula>NOT(ISERROR(SEARCH("E",O19)))</formula>
    </cfRule>
    <cfRule type="containsText" dxfId="178" priority="2" operator="containsText" text="M">
      <formula>NOT(ISERROR(SEARCH("M",O19)))</formula>
    </cfRule>
    <cfRule type="containsText" dxfId="177" priority="3" operator="containsText" text="A">
      <formula>NOT(ISERROR(SEARCH("A",O19)))</formula>
    </cfRule>
    <cfRule type="containsText" dxfId="176" priority="4" operator="containsText" text="B">
      <formula>NOT(ISERROR(SEARCH("B",O19)))</formula>
    </cfRule>
  </conditionalFormatting>
  <dataValidations count="5">
    <dataValidation type="list" allowBlank="1" showInputMessage="1" showErrorMessage="1" sqref="M20:P20">
      <formula1>#REF!</formula1>
    </dataValidation>
    <dataValidation type="list" allowBlank="1" showInputMessage="1" showErrorMessage="1" sqref="Q20:R20">
      <formula1>$J$31:$J$34</formula1>
    </dataValidation>
    <dataValidation type="list" allowBlank="1" showInputMessage="1" showErrorMessage="1" promptTitle="AFECTA A:" prompt="Seleccione según a quien afecte el control" sqref="L17:M17">
      <formula1>#REF!</formula1>
    </dataValidation>
    <dataValidation type="list" allowBlank="1" showInputMessage="1" showErrorMessage="1" promptTitle="AFECTA A:" prompt="Seleccione según a quien afecte el control" sqref="L18:M18">
      <formula1>$XFC$2:$XFD$3</formula1>
    </dataValidation>
    <dataValidation type="list" allowBlank="1" showInputMessage="1" showErrorMessage="1" promptTitle="AFECTA A:" prompt="Seleccione según a quien afecte el control" sqref="L19:M19">
      <formula1>$XFD$2:$XFD$3</formula1>
    </dataValidation>
  </dataValidations>
  <pageMargins left="0.7" right="0.7" top="0.75" bottom="0.75" header="0.3" footer="0.3"/>
  <pageSetup scale="1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
  <sheetViews>
    <sheetView showGridLines="0" view="pageBreakPreview" topLeftCell="L1" zoomScale="70" zoomScaleNormal="70" zoomScaleSheetLayoutView="70" workbookViewId="0">
      <selection activeCell="T18" sqref="T18"/>
    </sheetView>
  </sheetViews>
  <sheetFormatPr baseColWidth="10" defaultColWidth="11.453125" defaultRowHeight="14" x14ac:dyDescent="0.35"/>
  <cols>
    <col min="1" max="1" width="41.26953125" style="2" customWidth="1"/>
    <col min="2" max="2" width="40.453125" style="2" customWidth="1"/>
    <col min="3" max="3" width="40.453125" style="399" customWidth="1"/>
    <col min="4" max="4" width="40.453125" style="2" customWidth="1"/>
    <col min="5" max="5" width="40.453125" style="399" customWidth="1"/>
    <col min="6" max="6" width="27" style="5" customWidth="1"/>
    <col min="7" max="7" width="27" style="402" customWidth="1"/>
    <col min="8" max="8" width="19" style="5" customWidth="1"/>
    <col min="9" max="9" width="19" style="402" customWidth="1"/>
    <col min="10" max="10" width="26.7265625" style="5" customWidth="1"/>
    <col min="11" max="11" width="31.54296875" style="2" customWidth="1"/>
    <col min="12" max="12" width="29.7265625" style="399" customWidth="1"/>
    <col min="13" max="13" width="17.7265625" style="5" customWidth="1"/>
    <col min="14" max="14" width="18.54296875" style="2" customWidth="1"/>
    <col min="15" max="15" width="21.7265625" style="2" customWidth="1"/>
    <col min="16" max="16" width="21.7265625" style="399" customWidth="1"/>
    <col min="17" max="17" width="19.81640625" style="2" customWidth="1"/>
    <col min="18" max="18" width="50.7265625" style="2" customWidth="1"/>
    <col min="19" max="19" width="20.1796875" style="2" customWidth="1"/>
    <col min="20" max="20" width="24.1796875" style="5" customWidth="1"/>
    <col min="21" max="21" width="64.81640625" style="2" customWidth="1"/>
    <col min="22" max="22" width="30.453125" style="2" customWidth="1"/>
    <col min="23" max="23" width="47.26953125" style="2" customWidth="1"/>
    <col min="24" max="24" width="30.453125" style="2" customWidth="1"/>
    <col min="25" max="25" width="36" style="2" hidden="1" customWidth="1"/>
    <col min="26" max="26" width="0" style="2" hidden="1" customWidth="1"/>
    <col min="27" max="73" width="11.453125" style="2" hidden="1" customWidth="1"/>
    <col min="74" max="74" width="11.453125" style="2" customWidth="1"/>
    <col min="75" max="16384" width="11.453125" style="2"/>
  </cols>
  <sheetData>
    <row r="1" spans="1:73"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2"/>
      <c r="U1" s="1053"/>
      <c r="V1" s="1060" t="s">
        <v>1</v>
      </c>
      <c r="W1" s="1061"/>
      <c r="X1" s="1"/>
      <c r="Y1" s="1"/>
    </row>
    <row r="2" spans="1:73" ht="22.5" customHeight="1" x14ac:dyDescent="0.35">
      <c r="A2" s="1050"/>
      <c r="B2" s="1050"/>
      <c r="C2" s="1050"/>
      <c r="D2" s="1050"/>
      <c r="E2" s="80"/>
      <c r="F2" s="1054"/>
      <c r="G2" s="1055"/>
      <c r="H2" s="1055"/>
      <c r="I2" s="1055"/>
      <c r="J2" s="1055"/>
      <c r="K2" s="1055"/>
      <c r="L2" s="1055"/>
      <c r="M2" s="1055"/>
      <c r="N2" s="1055"/>
      <c r="O2" s="1055"/>
      <c r="P2" s="1055"/>
      <c r="Q2" s="1055"/>
      <c r="R2" s="1055"/>
      <c r="S2" s="1055"/>
      <c r="T2" s="1055"/>
      <c r="U2" s="1056"/>
      <c r="V2" s="1060" t="s">
        <v>372</v>
      </c>
      <c r="W2" s="1061"/>
      <c r="X2" s="1"/>
      <c r="Y2" s="1"/>
    </row>
    <row r="3" spans="1:73" ht="21" customHeight="1" x14ac:dyDescent="0.35">
      <c r="A3" s="1050"/>
      <c r="B3" s="1050"/>
      <c r="C3" s="1050"/>
      <c r="D3" s="1050"/>
      <c r="E3" s="80"/>
      <c r="F3" s="1054"/>
      <c r="G3" s="1055"/>
      <c r="H3" s="1055"/>
      <c r="I3" s="1055"/>
      <c r="J3" s="1055"/>
      <c r="K3" s="1055"/>
      <c r="L3" s="1055"/>
      <c r="M3" s="1055"/>
      <c r="N3" s="1055"/>
      <c r="O3" s="1055"/>
      <c r="P3" s="1055"/>
      <c r="Q3" s="1055"/>
      <c r="R3" s="1055"/>
      <c r="S3" s="1055"/>
      <c r="T3" s="1055"/>
      <c r="U3" s="1056"/>
      <c r="V3" s="1060" t="s">
        <v>373</v>
      </c>
      <c r="W3" s="1061"/>
      <c r="X3" s="1"/>
      <c r="Y3" s="1"/>
    </row>
    <row r="4" spans="1:73" ht="20.25" customHeight="1" x14ac:dyDescent="0.35">
      <c r="A4" s="1050"/>
      <c r="B4" s="1050"/>
      <c r="C4" s="1050"/>
      <c r="D4" s="1050"/>
      <c r="E4" s="81"/>
      <c r="F4" s="1057"/>
      <c r="G4" s="1058"/>
      <c r="H4" s="1058"/>
      <c r="I4" s="1058"/>
      <c r="J4" s="1058"/>
      <c r="K4" s="1058"/>
      <c r="L4" s="1058"/>
      <c r="M4" s="1058"/>
      <c r="N4" s="1058"/>
      <c r="O4" s="1058"/>
      <c r="P4" s="1058"/>
      <c r="Q4" s="1058"/>
      <c r="R4" s="1058"/>
      <c r="S4" s="1058"/>
      <c r="T4" s="1058"/>
      <c r="U4" s="1059"/>
      <c r="V4" s="1060" t="s">
        <v>2</v>
      </c>
      <c r="W4" s="1061"/>
      <c r="X4" s="1"/>
      <c r="Y4" s="1"/>
    </row>
    <row r="5" spans="1:73" ht="8.25" customHeight="1" x14ac:dyDescent="0.35">
      <c r="B5" s="3"/>
      <c r="C5" s="400"/>
      <c r="D5" s="3"/>
      <c r="E5" s="400"/>
      <c r="F5" s="4"/>
      <c r="G5" s="401"/>
      <c r="H5" s="4"/>
      <c r="I5" s="401"/>
      <c r="J5" s="4"/>
      <c r="K5" s="4"/>
      <c r="L5" s="401"/>
      <c r="M5" s="4"/>
      <c r="N5" s="4"/>
      <c r="O5" s="4"/>
      <c r="P5" s="401"/>
      <c r="Q5" s="4"/>
      <c r="R5" s="4"/>
      <c r="X5" s="6"/>
      <c r="Y5" s="6"/>
    </row>
    <row r="6" spans="1:73" x14ac:dyDescent="0.35">
      <c r="A6" s="1030" t="s">
        <v>3</v>
      </c>
      <c r="B6" s="1030"/>
      <c r="C6" s="1030"/>
      <c r="D6" s="1030"/>
      <c r="E6" s="82"/>
      <c r="F6" s="1044" t="str">
        <f>[5]IdentRiesgo!B2</f>
        <v>Generación de conocimiento e investigación</v>
      </c>
      <c r="G6" s="1045"/>
      <c r="H6" s="1045"/>
      <c r="I6" s="1045"/>
      <c r="J6" s="1045"/>
      <c r="K6" s="1045"/>
      <c r="L6" s="1045"/>
      <c r="M6" s="1045"/>
      <c r="N6" s="1045"/>
      <c r="O6" s="1045"/>
      <c r="P6" s="1045"/>
      <c r="Q6" s="1045"/>
      <c r="R6" s="1045"/>
      <c r="S6" s="1045"/>
      <c r="T6" s="1045"/>
      <c r="U6" s="1045"/>
      <c r="V6" s="1045"/>
      <c r="W6" s="1046"/>
      <c r="X6" s="6"/>
      <c r="Y6" s="6"/>
    </row>
    <row r="7" spans="1:73" ht="6.75" customHeight="1" x14ac:dyDescent="0.35">
      <c r="B7" s="3"/>
      <c r="C7" s="400"/>
      <c r="D7" s="3"/>
      <c r="E7" s="400"/>
      <c r="F7" s="7"/>
      <c r="G7" s="405"/>
      <c r="H7" s="7"/>
      <c r="I7" s="405"/>
      <c r="J7" s="7"/>
      <c r="K7" s="7"/>
      <c r="L7" s="405"/>
      <c r="M7" s="7"/>
      <c r="N7" s="7"/>
      <c r="O7" s="7"/>
      <c r="P7" s="405"/>
      <c r="Q7" s="7"/>
      <c r="R7" s="7"/>
      <c r="S7" s="8"/>
      <c r="T7" s="8"/>
      <c r="U7" s="8"/>
      <c r="V7" s="8"/>
      <c r="W7" s="8"/>
      <c r="X7" s="6"/>
      <c r="Y7" s="6"/>
    </row>
    <row r="8" spans="1:73" ht="39.75" customHeight="1" x14ac:dyDescent="0.35">
      <c r="A8" s="1030" t="s">
        <v>4</v>
      </c>
      <c r="B8" s="1030"/>
      <c r="C8" s="1030"/>
      <c r="D8" s="1030"/>
      <c r="E8" s="82"/>
      <c r="F8" s="1047" t="str">
        <f>[5]IdentRiesgo!B3</f>
        <v xml:space="preserve">Generar conocimiento e investigación sobre la dinámica de los recursos naturales y su interacción con la sociedad, para la toma de decisiones. </v>
      </c>
      <c r="G8" s="1048"/>
      <c r="H8" s="1048"/>
      <c r="I8" s="1048"/>
      <c r="J8" s="1048"/>
      <c r="K8" s="1048"/>
      <c r="L8" s="1048"/>
      <c r="M8" s="1048"/>
      <c r="N8" s="1048"/>
      <c r="O8" s="1048"/>
      <c r="P8" s="1048"/>
      <c r="Q8" s="1048"/>
      <c r="R8" s="1048"/>
      <c r="S8" s="1048"/>
      <c r="T8" s="1048"/>
      <c r="U8" s="1048"/>
      <c r="V8" s="1048"/>
      <c r="W8" s="1049"/>
      <c r="X8" s="9"/>
      <c r="Y8" s="9"/>
    </row>
    <row r="9" spans="1:73" ht="6.75" customHeight="1" x14ac:dyDescent="0.35">
      <c r="B9" s="10"/>
      <c r="C9" s="403"/>
      <c r="D9" s="10"/>
      <c r="E9" s="403"/>
      <c r="F9" s="11"/>
      <c r="G9" s="406"/>
      <c r="H9" s="11"/>
      <c r="I9" s="406"/>
      <c r="J9" s="11"/>
      <c r="K9" s="11"/>
      <c r="L9" s="406"/>
      <c r="M9" s="11"/>
      <c r="N9" s="11"/>
      <c r="O9" s="11"/>
      <c r="P9" s="406"/>
      <c r="Q9" s="11"/>
      <c r="R9" s="11"/>
      <c r="S9" s="8"/>
      <c r="T9" s="8"/>
      <c r="U9" s="8"/>
      <c r="V9" s="8"/>
      <c r="W9" s="8"/>
      <c r="X9" s="6"/>
      <c r="Y9" s="6"/>
    </row>
    <row r="10" spans="1:73" x14ac:dyDescent="0.35">
      <c r="A10" s="1030" t="s">
        <v>5</v>
      </c>
      <c r="B10" s="1030"/>
      <c r="C10" s="1030"/>
      <c r="D10" s="1030"/>
      <c r="E10" s="82"/>
      <c r="F10" s="1031" t="s">
        <v>78</v>
      </c>
      <c r="G10" s="1032"/>
      <c r="H10" s="1032"/>
      <c r="I10" s="1032"/>
      <c r="J10" s="1032"/>
      <c r="K10" s="1032"/>
      <c r="L10" s="1032"/>
      <c r="M10" s="1032"/>
      <c r="N10" s="1032"/>
      <c r="O10" s="1032"/>
      <c r="P10" s="1032"/>
      <c r="Q10" s="1032"/>
      <c r="R10" s="1032"/>
      <c r="S10" s="1032"/>
      <c r="T10" s="1032"/>
      <c r="U10" s="1032"/>
      <c r="V10" s="1032"/>
      <c r="W10" s="1033"/>
      <c r="X10" s="12"/>
      <c r="Y10" s="12"/>
    </row>
    <row r="11" spans="1:73" ht="5.25" customHeight="1" x14ac:dyDescent="0.35">
      <c r="B11" s="3"/>
      <c r="C11" s="400"/>
      <c r="D11" s="3"/>
      <c r="E11" s="400"/>
      <c r="F11" s="13"/>
      <c r="G11" s="425"/>
      <c r="H11" s="13"/>
      <c r="I11" s="425"/>
      <c r="J11" s="13"/>
      <c r="K11" s="13"/>
      <c r="L11" s="425"/>
      <c r="M11" s="13"/>
      <c r="N11" s="13"/>
      <c r="O11" s="13"/>
      <c r="P11" s="425"/>
      <c r="Q11" s="13"/>
      <c r="R11" s="13"/>
      <c r="S11" s="8"/>
      <c r="T11" s="8"/>
      <c r="U11" s="8"/>
      <c r="V11" s="8"/>
      <c r="W11" s="8"/>
      <c r="X11" s="6"/>
      <c r="Y11" s="6"/>
    </row>
    <row r="12" spans="1:73" x14ac:dyDescent="0.35">
      <c r="A12" s="1030" t="s">
        <v>6</v>
      </c>
      <c r="B12" s="1030"/>
      <c r="C12" s="1030"/>
      <c r="D12" s="1030"/>
      <c r="E12" s="82"/>
      <c r="F12" s="1031" t="s">
        <v>599</v>
      </c>
      <c r="G12" s="1032"/>
      <c r="H12" s="1032"/>
      <c r="I12" s="1032"/>
      <c r="J12" s="1032"/>
      <c r="K12" s="1032"/>
      <c r="L12" s="1032"/>
      <c r="M12" s="1032"/>
      <c r="N12" s="1032"/>
      <c r="O12" s="1032"/>
      <c r="P12" s="1032"/>
      <c r="Q12" s="1032"/>
      <c r="R12" s="1032"/>
      <c r="S12" s="1032"/>
      <c r="T12" s="1032"/>
      <c r="U12" s="1032"/>
      <c r="V12" s="1032"/>
      <c r="W12" s="1033"/>
      <c r="X12" s="12"/>
      <c r="Y12" s="12"/>
      <c r="AB12" s="2" t="s">
        <v>7</v>
      </c>
    </row>
    <row r="13" spans="1:73" ht="14.5" thickBot="1" x14ac:dyDescent="0.4">
      <c r="B13" s="3"/>
      <c r="C13" s="400"/>
      <c r="D13" s="3"/>
      <c r="E13" s="400"/>
      <c r="F13" s="14"/>
      <c r="G13" s="407"/>
      <c r="H13" s="15"/>
      <c r="I13" s="404"/>
      <c r="J13" s="15"/>
      <c r="K13" s="7"/>
      <c r="L13" s="405"/>
      <c r="M13" s="15"/>
      <c r="N13" s="7"/>
      <c r="O13" s="7"/>
      <c r="P13" s="405"/>
      <c r="Q13" s="7"/>
      <c r="R13" s="7"/>
      <c r="S13" s="7"/>
      <c r="T13" s="15"/>
      <c r="U13" s="7"/>
      <c r="X13" s="6"/>
      <c r="Y13" s="6"/>
      <c r="AB13" s="2" t="s">
        <v>8</v>
      </c>
      <c r="AH13" s="1034" t="s">
        <v>9</v>
      </c>
      <c r="AI13" s="1034"/>
      <c r="AJ13" s="1034"/>
      <c r="AK13" s="1034"/>
      <c r="AL13" s="1034"/>
      <c r="AM13" s="1034"/>
      <c r="AN13" s="1034"/>
      <c r="AO13" s="1034"/>
      <c r="AP13" s="1034"/>
      <c r="AQ13" s="1034"/>
      <c r="AR13" s="1034"/>
      <c r="AS13" s="1034"/>
      <c r="AT13" s="1034"/>
      <c r="AU13" s="1034"/>
      <c r="AV13" s="1034"/>
      <c r="AW13" s="1034"/>
      <c r="AX13" s="1034"/>
      <c r="AY13" s="1034"/>
      <c r="AZ13" s="1034"/>
      <c r="BB13" s="1034" t="s">
        <v>10</v>
      </c>
      <c r="BC13" s="1034"/>
      <c r="BD13" s="1034"/>
      <c r="BE13" s="1034"/>
      <c r="BF13" s="1034"/>
      <c r="BG13" s="1034"/>
      <c r="BH13" s="1034"/>
      <c r="BI13" s="1034"/>
      <c r="BJ13" s="1034"/>
      <c r="BK13" s="1034"/>
      <c r="BL13" s="1034"/>
      <c r="BM13" s="1034"/>
      <c r="BN13" s="1034"/>
      <c r="BO13" s="1034"/>
      <c r="BP13" s="1034"/>
      <c r="BQ13" s="1034"/>
      <c r="BR13" s="1034"/>
      <c r="BS13" s="1034"/>
      <c r="BT13" s="1034"/>
      <c r="BU13" s="1034"/>
    </row>
    <row r="14" spans="1:73" s="17" customFormat="1" ht="15" customHeight="1" x14ac:dyDescent="0.35">
      <c r="A14" s="1035" t="s">
        <v>11</v>
      </c>
      <c r="B14" s="1036"/>
      <c r="C14" s="1036"/>
      <c r="D14" s="1037"/>
      <c r="E14" s="83"/>
      <c r="F14" s="1038" t="s">
        <v>12</v>
      </c>
      <c r="G14" s="1038"/>
      <c r="H14" s="1038"/>
      <c r="I14" s="420"/>
      <c r="J14" s="16"/>
      <c r="K14" s="1039" t="s">
        <v>13</v>
      </c>
      <c r="L14" s="104"/>
      <c r="M14" s="1035" t="s">
        <v>14</v>
      </c>
      <c r="N14" s="1036"/>
      <c r="O14" s="1037"/>
      <c r="P14" s="894"/>
      <c r="Q14" s="1042" t="s">
        <v>15</v>
      </c>
      <c r="R14" s="1042"/>
      <c r="S14" s="1042"/>
      <c r="T14" s="1042" t="s">
        <v>16</v>
      </c>
      <c r="U14" s="1042"/>
      <c r="V14" s="1042"/>
      <c r="W14" s="1042"/>
    </row>
    <row r="15" spans="1:73" s="17" customFormat="1" ht="14.25" customHeight="1" x14ac:dyDescent="0.35">
      <c r="A15" s="1040" t="s">
        <v>17</v>
      </c>
      <c r="B15" s="1040" t="s">
        <v>18</v>
      </c>
      <c r="C15" s="895" t="s">
        <v>96</v>
      </c>
      <c r="D15" s="1040" t="s">
        <v>19</v>
      </c>
      <c r="E15" s="895"/>
      <c r="F15" s="1018" t="s">
        <v>20</v>
      </c>
      <c r="G15" s="1018"/>
      <c r="H15" s="1018"/>
      <c r="I15" s="891"/>
      <c r="J15" s="52"/>
      <c r="K15" s="1040"/>
      <c r="L15" s="103"/>
      <c r="M15" s="1023" t="s">
        <v>21</v>
      </c>
      <c r="N15" s="1024"/>
      <c r="O15" s="1025"/>
      <c r="P15" s="893"/>
      <c r="Q15" s="1023" t="s">
        <v>22</v>
      </c>
      <c r="R15" s="1024"/>
      <c r="S15" s="1025"/>
      <c r="T15" s="1018" t="s">
        <v>23</v>
      </c>
      <c r="U15" s="1018" t="s">
        <v>24</v>
      </c>
      <c r="V15" s="1018" t="s">
        <v>5</v>
      </c>
      <c r="W15" s="1018" t="s">
        <v>25</v>
      </c>
    </row>
    <row r="16" spans="1:73" s="17" customFormat="1" ht="63" customHeight="1" thickBot="1" x14ac:dyDescent="0.4">
      <c r="A16" s="1043"/>
      <c r="B16" s="1043"/>
      <c r="C16" s="897"/>
      <c r="D16" s="1043"/>
      <c r="E16" s="897" t="s">
        <v>97</v>
      </c>
      <c r="F16" s="52" t="s">
        <v>26</v>
      </c>
      <c r="G16" s="891" t="s">
        <v>96</v>
      </c>
      <c r="H16" s="52" t="s">
        <v>10</v>
      </c>
      <c r="I16" s="891" t="s">
        <v>96</v>
      </c>
      <c r="J16" s="52" t="s">
        <v>27</v>
      </c>
      <c r="K16" s="1041"/>
      <c r="L16" s="896" t="s">
        <v>98</v>
      </c>
      <c r="M16" s="19" t="s">
        <v>26</v>
      </c>
      <c r="N16" s="19" t="s">
        <v>10</v>
      </c>
      <c r="O16" s="51" t="s">
        <v>27</v>
      </c>
      <c r="P16" s="897" t="s">
        <v>100</v>
      </c>
      <c r="Q16" s="52" t="s">
        <v>28</v>
      </c>
      <c r="R16" s="52" t="s">
        <v>24</v>
      </c>
      <c r="S16" s="52" t="s">
        <v>29</v>
      </c>
      <c r="T16" s="1018"/>
      <c r="U16" s="1018"/>
      <c r="V16" s="1018"/>
      <c r="W16" s="1018"/>
    </row>
    <row r="17" spans="1:71" ht="175.5" customHeight="1" x14ac:dyDescent="0.35">
      <c r="A17" s="856" t="str">
        <f>IF(ISTEXT([6]IdentificaciónRiesgos!$B6),[6]IdentificaciónRiesgos!$A6,"")</f>
        <v xml:space="preserve">Desconocimiento de la normatividad aplicable en la emision de informes y productos. No acceso al desarrollo tecnológico que facilite las investigaciones </v>
      </c>
      <c r="B17" s="581" t="str">
        <f>IF(ISTEXT([6]IdentificaciónRiesgos!$B6),[6]IdentificaciónRiesgos!$B6,"")</f>
        <v>Impresicion e inexactitud de  los informes y documentos emitidos por el Instituto</v>
      </c>
      <c r="C17" s="856" t="str">
        <f>IF(ISTEXT([6]IdentificaciónRiesgos!$B6),[6]IdentificaciónRiesgos!$C6,"")</f>
        <v xml:space="preserve">Emision erronea de datos e informacion incongruente de resultados por parte del IDEAM </v>
      </c>
      <c r="D17" s="856" t="str">
        <f>IF(ISTEXT([6]IdentificaciónRiesgos!$B6),[6]IdentificaciónRiesgos!$D6,"")</f>
        <v>Falta de credibilidad, perdida de imagen institucional</v>
      </c>
      <c r="E17" s="850" t="str">
        <f>IF(ISTEXT([6]IdentificaciónRiesgos!$B6),VLOOKUP($C17,[6]DefiniciónRiesgos!$A$4:$F$9,6,FALSE),"")</f>
        <v>RIESGO DE GESTIÓN</v>
      </c>
      <c r="F17" s="851">
        <f>IF(ISTEXT([6]IdentificaciónRiesgos!$B6),IF(EXACT([6]AnálisisRiesgos!$B9,"X"),5,IF(EXACT([6]AnálisisRiesgos!$C9,"X"),4,IF(EXACT([6]AnálisisRiesgos!$D9,"X"),3,IF(EXACT([6]AnálisisRiesgos!$E9,"X"),2,IF(EXACT([6]AnálisisRiesgos!$F9,"X"),1,""))))),"")</f>
        <v>3</v>
      </c>
      <c r="G17" s="851" t="str">
        <f t="shared" ref="G17:G18" si="0">IF(EXACT($F17,5),"Casí Seguro",IF(EXACT($F17,4),"Probable",IF(EXACT($F17,3),"Posible",IF(EXACT($F17,2),"Improbable","Rara Vez"))))</f>
        <v>Posible</v>
      </c>
      <c r="H17" s="852">
        <f>IF(EXACT($B17,""),"",IF(EXACT($E17,"RIESGO DE GESTIÓN"),IF(EXACT([6]AnálisisRiesgos!$G9,"X"),5,IF(EXACT([6]AnálisisRiesgos!$H9,"X"),4,IF(EXACT([6]AnálisisRiesgos!$I9,"X"),3,IF(EXACT([6]AnálisisRiesgos!$J9,"X"),2,1)))),IF(EXACT([6]AnálisisRiesgos!$L9,"X"),20,IF(EXACT([6]AnálisisRiesgos!$M9,"X"),10,5))))</f>
        <v>3</v>
      </c>
      <c r="I17" s="852" t="str">
        <f t="shared" ref="I17:I18" si="1">IF(EXACT($E17,"RIESGO DE GESTIÓN"),IF(EXACT($H17,1),"Insignificante",IF(EXACT($H17,2),"Menor",IF(EXACT($H17,3),"Moderado",IF(EXACT($H17,4),"Mayor","Catastrófico")))),IF(EXACT($H17,5),"Moderado",IF(EXACT($H17,10),"Mayor","Catastrófico")))</f>
        <v>Moderado</v>
      </c>
      <c r="J17" s="853" t="s">
        <v>51</v>
      </c>
      <c r="K17" s="898" t="s">
        <v>532</v>
      </c>
      <c r="L17" s="1067" t="s">
        <v>26</v>
      </c>
      <c r="M17" s="1068"/>
      <c r="N17" s="26"/>
      <c r="O17" s="853" t="s">
        <v>49</v>
      </c>
      <c r="P17" s="854" t="s">
        <v>128</v>
      </c>
      <c r="Q17" s="855" t="s">
        <v>83</v>
      </c>
      <c r="R17" s="958" t="s">
        <v>600</v>
      </c>
      <c r="S17" s="174" t="s">
        <v>601</v>
      </c>
      <c r="T17" s="857">
        <v>42947</v>
      </c>
      <c r="U17" s="945" t="s">
        <v>602</v>
      </c>
      <c r="V17" s="803" t="s">
        <v>78</v>
      </c>
      <c r="W17" s="549" t="s">
        <v>603</v>
      </c>
      <c r="Y17" s="28" t="str">
        <f>IF(AND(F17=1,H17=5),$H$25,IF(AND(F17=1,H17=10),$J$25,IF(AND(F17=1,H17=20),$K$25," ")))</f>
        <v xml:space="preserve"> </v>
      </c>
      <c r="Z17" s="28" t="str">
        <f>IF(AND(F17=2,H17=5),$H$26,IF(AND(F17=2,H17=10),$J$26,IF(AND(F17=2,H17=20),$K$26," ")))</f>
        <v xml:space="preserve"> </v>
      </c>
      <c r="AA17" s="28" t="str">
        <f>IF(AND(F17=3,H17=5),$H$27,IF(AND(F17=3,H17=10),$J$27,IF(AND(F17=3,H17=20),$K$27," ")))</f>
        <v xml:space="preserve"> </v>
      </c>
      <c r="AB17" s="28" t="str">
        <f>IF(AND(F17=4,H17=5),$H$28,IF(AND(F17=4,H17=10),$J$28,IF(AND(F17=4,H17=20),$K$28," ")))</f>
        <v xml:space="preserve"> </v>
      </c>
      <c r="AC17" s="28" t="str">
        <f>IF(AND(F17=5,H17=5),$H$29,IF(AND(F17=5,H17=10),$J$29,IF(AND(F17=5,H17=20),$K$29," ")))</f>
        <v xml:space="preserve"> </v>
      </c>
      <c r="AE17" s="29" t="s">
        <v>31</v>
      </c>
      <c r="AF17" s="28" t="str">
        <f>IF(AND(M17&gt;0,[5]EvaluaciónRiesgoCorrup!$F$11&gt;75,F17=1,H17=5),$H$25,IF(AND(M17&gt;0,[5]EvaluaciónRiesgoCorrup!$F$11&gt;75,F17=1,H17=10),$J$25,IF(AND(M17&gt;0,[5]EvaluaciónRiesgoCorrup!$F$11&gt;75,F17=1,H17=20),$K$25," ")))</f>
        <v xml:space="preserve"> </v>
      </c>
      <c r="AG17" s="28" t="str">
        <f>IF(AND(M17&gt;0,[5]EvaluaciónRiesgoCorrup!$F$11&gt;75,F17=2,H17=5),$H$25,IF(AND(M17&gt;0,[5]EvaluaciónRiesgoCorrup!$F$11&gt;75,F17=2,H17=10),$J$25,IF(AND(M17&gt;0,[5]EvaluaciónRiesgoCorrup!$F$11&gt;75,F17=2,H17=20),$K$25," ")))</f>
        <v xml:space="preserve"> </v>
      </c>
      <c r="AH17" s="28" t="str">
        <f>IF(AND(M17&gt;0,[5]EvaluaciónRiesgoCorrup!$F$11&gt;75,F17=3,H17=5),$H$25,IF(AND(M17&gt;0,[5]EvaluaciónRiesgoCorrup!$F$11&gt;75,F17=3,H17=10),$J$25,IF(AND(M17&gt;0,[5]EvaluaciónRiesgoCorrup!$F$11&gt;75,F17=3,H17=20),$K$25," ")))</f>
        <v xml:space="preserve"> </v>
      </c>
      <c r="AI17" s="28" t="str">
        <f>IF(AND(M17&gt;0,[5]EvaluaciónRiesgoCorrup!$F$11&gt;75,F17=4,H17=5),$H$26,IF(AND(M17&gt;0,[5]EvaluaciónRiesgoCorrup!$F$11&gt;75,F17=4,H17=10),$J$26,IF(AND(M17&gt;0,[5]EvaluaciónRiesgoCorrup!$F$11&gt;75,F17=4,H17=20),$K$26," ")))</f>
        <v xml:space="preserve"> </v>
      </c>
      <c r="AJ17" s="28" t="str">
        <f>IF(AND(M17&gt;0,[5]EvaluaciónRiesgoCorrup!$F$11&gt;75,F17=5,H17=5),$H$27,IF(AND(M17&gt;0,[5]EvaluaciónRiesgoCorrup!$F$11&gt;75,F17=5,H17=10),$J$27,IF(AND(M17&gt;0,[5]EvaluaciónRiesgoCorrup!$F$11&gt;75,F17=5,H17=20),$K$27," ")))</f>
        <v xml:space="preserve"> </v>
      </c>
      <c r="AK17" s="29" t="s">
        <v>32</v>
      </c>
      <c r="AL17" s="28" t="str">
        <f>IF(AND(M17&gt;0,[5]EvaluaciónRiesgoCorrup!$F$11&gt;50,[5]EvaluaciónRiesgoCorrup!$F$11&lt;76,F17=1,H17=5),$H$25,IF(AND(M17&gt;0,[5]EvaluaciónRiesgoCorrup!$F$11&gt;50,[5]EvaluaciónRiesgoCorrup!$F$11&lt;76,F17=1,H17=10),$J$25,IF(AND(M17&gt;0,[5]EvaluaciónRiesgoCorrup!$F$11&gt;50,[5]EvaluaciónRiesgoCorrup!$F$11&lt;76,F17=1,H17=20),$K$25," ")))</f>
        <v xml:space="preserve"> </v>
      </c>
      <c r="AM17" s="28" t="str">
        <f>IF(AND(M17&gt;0,[5]EvaluaciónRiesgoCorrup!$F$11&gt;50,[5]EvaluaciónRiesgoCorrup!$F$11&lt;76,F17=2,H17=5),$H$25,IF(AND(M17&gt;0,[5]EvaluaciónRiesgoCorrup!$F$11&gt;50,[5]EvaluaciónRiesgoCorrup!$F$11&lt;76,F17=2,H17=10),$J$25,IF(AND(M17&gt;0,[5]EvaluaciónRiesgoCorrup!$F$11&gt;50,[5]EvaluaciónRiesgoCorrup!$F$11&lt;76,F17=2,H17=20),$K$25," ")))</f>
        <v xml:space="preserve"> </v>
      </c>
      <c r="AN17" s="28" t="str">
        <f>IF(AND(M17&gt;0,[5]EvaluaciónRiesgoCorrup!$F$11&gt;50,[5]EvaluaciónRiesgoCorrup!$F$11&lt;76,F17=3,H17=5),$H$26,IF(AND(M17&gt;0,[5]EvaluaciónRiesgoCorrup!$F$11&gt;50,[5]EvaluaciónRiesgoCorrup!$F$11&lt;76,F17=3,H17=10),$J$26,IF(AND(M17&gt;0,[5]EvaluaciónRiesgoCorrup!$F$11&gt;50,[5]EvaluaciónRiesgoCorrup!$F$11&lt;76,F17=3,H17=20),$K$26," ")))</f>
        <v xml:space="preserve"> </v>
      </c>
      <c r="AO17" s="28" t="str">
        <f>IF(AND(M17&gt;0,[5]EvaluaciónRiesgoCorrup!$F$11&gt;50,[5]EvaluaciónRiesgoCorrup!$F$11&lt;76,F17=4,H17=5),$H$27,IF(AND(M17&gt;0,[5]EvaluaciónRiesgoCorrup!$F$11&gt;50,[5]EvaluaciónRiesgoCorrup!$F$11&lt;76,F17=4,H17=10),$J$27,IF(AND(M17&gt;0,[5]EvaluaciónRiesgoCorrup!$F$11&gt;50,[5]EvaluaciónRiesgoCorrup!$F$11&lt;76,F17=4,H17=20),$K$27," ")))</f>
        <v xml:space="preserve"> </v>
      </c>
      <c r="AP17" s="28" t="str">
        <f>IF(AND(M17&gt;0,[5]EvaluaciónRiesgoCorrup!$F$11&gt;50,[5]EvaluaciónRiesgoCorrup!$F$11&lt;76,F17=5,H17=5),$H$28,IF(AND(M17&gt;0,[5]EvaluaciónRiesgoCorrup!$F$11&gt;50,[5]EvaluaciónRiesgoCorrup!$F$11&lt;76,F17=5,H17=10),$J$28,IF(AND(M17&gt;0,[5]EvaluaciónRiesgoCorrup!$F$11&gt;50,[5]EvaluaciónRiesgoCorrup!$F$11&lt;76,F17=5,H17=20),$K$28," ")))</f>
        <v xml:space="preserve"> </v>
      </c>
      <c r="AR17" s="29" t="s">
        <v>33</v>
      </c>
      <c r="AS17" s="28" t="str">
        <f>IF(AND(M17&gt;0,[5]EvaluaciónRiesgoCorrup!$F$11&lt;51,F17=1,H17=5),$H$25,IF(AND(M17&gt;0,[5]EvaluaciónRiesgoCorrup!$F$11&lt;51,F17=1,H17=10),$J$25,IF(AND(M17&gt;0,[5]EvaluaciónRiesgoCorrup!$F$11&lt;51,F17=1,H17=20),K$25," ")))</f>
        <v xml:space="preserve"> </v>
      </c>
      <c r="AT17" s="28" t="str">
        <f>IF(AND(M17&gt;0,[5]EvaluaciónRiesgoCorrup!$F$11&lt;51,F17=2,H17=5),$H$26,IF(AND(M17&gt;0,[5]EvaluaciónRiesgoCorrup!$F$11&lt;51,F17=2,H17=10),$J$26,IF(AND(M17&gt;0,[5]EvaluaciónRiesgoCorrup!$F$11&lt;51,F17=2,H17=20),K$26," ")))</f>
        <v xml:space="preserve"> </v>
      </c>
      <c r="AU17" s="28" t="str">
        <f>IF(AND(M17&gt;0,[5]EvaluaciónRiesgoCorrup!$F$11&lt;51,F17=3,H17=5),$H$27,IF(AND(M17&gt;0,[5]EvaluaciónRiesgoCorrup!$F$11&lt;51,F17=3,H17=10),$J$27,IF(AND(M17&gt;0,[5]EvaluaciónRiesgoCorrup!$F$11&lt;51,F17=3,H17=20),K$27," ")))</f>
        <v xml:space="preserve"> </v>
      </c>
      <c r="AV17" s="28" t="str">
        <f>IF(AND(M17&gt;0,[5]EvaluaciónRiesgoCorrup!$F$11&lt;51,F17=4,H17=5),$H$28,IF(AND(M17&gt;0,[5]EvaluaciónRiesgoCorrup!$F$11&lt;51,F17=4,H17=10),$J$28,IF(AND(M17&gt;0,[5]EvaluaciónRiesgoCorrup!$F$11&lt;51,F17=4,H17=20),K$28," ")))</f>
        <v xml:space="preserve"> </v>
      </c>
      <c r="AW17" s="28" t="str">
        <f>IF(AND(M17&gt;0,[5]EvaluaciónRiesgoCorrup!$F$11&lt;51,F17=5,H17=5),$H$29,IF(AND(M17&gt;0,[5]EvaluaciónRiesgoCorrup!$F$11&lt;51,F17=5,H17=10),$J$29,IF(AND(M17&gt;0,[5]EvaluaciónRiesgoCorrup!$F$11&lt;51,F17=5,H17=20),K$29," ")))</f>
        <v xml:space="preserve"> </v>
      </c>
      <c r="AZ17" s="29" t="s">
        <v>31</v>
      </c>
      <c r="BA17" s="28" t="str">
        <f>IF(AND(N17&gt;0,[5]EvaluaciónRiesgoCorrup!$F$11&gt;75,F17=1,H17=5),$H$25,IF(AND(N17&gt;0,[5]EvaluaciónRiesgoCorrup!$F$11&gt;75,F17=1,H17=10),$H$25,IF(AND(N17&gt;0,[5]EvaluaciónRiesgoCorrup!$F$11&gt;75,F17=1,H17=20),$H$25," ")))</f>
        <v xml:space="preserve"> </v>
      </c>
      <c r="BB17" s="28" t="str">
        <f>IF(AND(N17&gt;0,[5]EvaluaciónRiesgoCorrup!$F$11&gt;75,F17=2,H17=5),$H$26,IF(AND(N17&gt;0,[5]EvaluaciónRiesgoCorrup!$F$11&gt;75,F17=2,H17=10),$H$26,IF(AND(N17&gt;0,[5]EvaluaciónRiesgoCorrup!$F$11&gt;75,F17=2,H17=20),$H$26," ")))</f>
        <v xml:space="preserve"> </v>
      </c>
      <c r="BC17" s="28" t="str">
        <f>IF(AND(N17&gt;0,[5]EvaluaciónRiesgoCorrup!$F$11&gt;75,F17=3,H17=5),$H$27,IF(AND(N17&gt;0,[5]EvaluaciónRiesgoCorrup!$F$11&gt;75,F17=3,H17=10),$H$27,IF(AND(N17&gt;0,[5]EvaluaciónRiesgoCorrup!$F$11&gt;75,F17=3,H17=20),$H$27," ")))</f>
        <v xml:space="preserve"> </v>
      </c>
      <c r="BD17" s="28" t="str">
        <f>IF(AND(N17&gt;0,[5]EvaluaciónRiesgoCorrup!$F$11&gt;75,F17=4,H17=5),$H$28,IF(AND(N17&gt;0,[5]EvaluaciónRiesgoCorrup!$F$11&gt;75,F17=4,H17=10),$H$28,IF(AND(N17&gt;0,[5]EvaluaciónRiesgoCorrup!$F$11&gt;75,F17=4,H17=20),$H$28," ")))</f>
        <v xml:space="preserve"> </v>
      </c>
      <c r="BE17" s="28" t="str">
        <f>IF(AND(N17&gt;0,[5]EvaluaciónRiesgoCorrup!$F$11&gt;75,F17=5,H17=5),$H$29,IF(AND(N17&gt;0,[5]EvaluaciónRiesgoCorrup!$F$11&gt;75,F17=5,H17=10),$H$29,IF(AND(N17&gt;0,[5]EvaluaciónRiesgoCorrup!$F$11&gt;75,F17=5,H17=20),$H$29," ")))</f>
        <v xml:space="preserve"> </v>
      </c>
      <c r="BG17" s="29" t="s">
        <v>32</v>
      </c>
      <c r="BH17" s="28" t="str">
        <f>IF(AND(N17&gt;0,[5]EvaluaciónRiesgoCorrup!$F$11&gt;50,[5]EvaluaciónRiesgoCorrup!$F$11&lt;76,F17=1,H17=5),$H$25,IF(AND(N17&gt;0,[5]EvaluaciónRiesgoCorrup!$F$11&gt;50,[5]EvaluaciónRiesgoCorrup!$F$11&lt;76,F17=1,H17=10),$H$25,IF(AND(N17&gt;0,[5]EvaluaciónRiesgoCorrup!$F$11&gt;50,[5]EvaluaciónRiesgoCorrup!$F$11&lt;76,F17=1,H17=20),$J$25," ")))</f>
        <v xml:space="preserve"> </v>
      </c>
      <c r="BI17" s="28" t="str">
        <f>IF(AND(N17&gt;0,[5]EvaluaciónRiesgoCorrup!$F$11&gt;50,[5]EvaluaciónRiesgoCorrup!$F$11&lt;76,F17=2,H17=5),$H$26,IF(AND(N17&gt;0,[5]EvaluaciónRiesgoCorrup!$F$11&gt;50,[5]EvaluaciónRiesgoCorrup!$F$11&lt;76,F17=2,H17=10),$H$26,IF(AND(N17&gt;0,[5]EvaluaciónRiesgoCorrup!$F$11&gt;50,[5]EvaluaciónRiesgoCorrup!$F$11&lt;76,F17=2,H17=20),$J$26," ")))</f>
        <v xml:space="preserve"> </v>
      </c>
      <c r="BJ17" s="28" t="str">
        <f>IF(AND(N17&gt;0,[5]EvaluaciónRiesgoCorrup!$F$11&gt;50,[5]EvaluaciónRiesgoCorrup!$F$11&lt;76,F17=3,H17=5),$H$27,IF(AND(N17&gt;0,[5]EvaluaciónRiesgoCorrup!$F$11&gt;50,[5]EvaluaciónRiesgoCorrup!$F$11&lt;76,F17=3,H17=10),$H$27,IF(AND(N17&gt;0,[5]EvaluaciónRiesgoCorrup!$F$11&gt;50,[5]EvaluaciónRiesgoCorrup!$F$11&lt;76,F17=3,H17=20),$J$27," ")))</f>
        <v xml:space="preserve"> </v>
      </c>
      <c r="BK17" s="28" t="str">
        <f>IF(AND(N17&gt;0,[5]EvaluaciónRiesgoCorrup!$F$11&gt;50,[5]EvaluaciónRiesgoCorrup!$F$11&lt;76,F17=4,H17=5),$H$28,IF(AND(N17&gt;0,[5]EvaluaciónRiesgoCorrup!$F$11&gt;50,[5]EvaluaciónRiesgoCorrup!$F$11&lt;76,F17=4,H17=10),$H$28,IF(AND(N17&gt;0,[5]EvaluaciónRiesgoCorrup!$F$11&gt;50,[5]EvaluaciónRiesgoCorrup!$F$11&lt;76,F17=4,H17=20),$J$28," ")))</f>
        <v xml:space="preserve"> </v>
      </c>
      <c r="BL17" s="28" t="str">
        <f>IF(AND(N17&gt;0,[5]EvaluaciónRiesgoCorrup!$F$11&gt;50,[5]EvaluaciónRiesgoCorrup!$F$11&lt;76,F17=5,H17=5),$H$29,IF(AND(N17&gt;0,[5]EvaluaciónRiesgoCorrup!$F$11&gt;50,[5]EvaluaciónRiesgoCorrup!$F$11&lt;76,F17=5,H17=10),$H$29,IF(AND(N17&gt;0,[5]EvaluaciónRiesgoCorrup!$F$11&gt;50,[5]EvaluaciónRiesgoCorrup!$F$11&lt;76,F17=5,H17=20),$J$29," ")))</f>
        <v xml:space="preserve"> </v>
      </c>
      <c r="BN17" s="29" t="s">
        <v>33</v>
      </c>
      <c r="BO17" s="28" t="str">
        <f>IF(AND(N17&gt;0,[5]EvaluaciónRiesgoCorrup!$F$11&lt;51,F17=1,H17=5),$H$25,IF(AND(N17&gt;0,[5]EvaluaciónRiesgoCorrup!$F$11&lt;51,F17=1,H17=10),$J$25,IF(AND(N17&gt;0,[5]EvaluaciónRiesgoCorrup!$F$11&lt;51,F17=1,H17=20),$K$25," ")))</f>
        <v xml:space="preserve"> </v>
      </c>
      <c r="BP17" s="28" t="str">
        <f>IF(AND(N17&gt;0,[5]EvaluaciónRiesgoCorrup!$F$11&lt;51,F17=2,H17=5),$H$26,IF(AND(N17&gt;0,[5]EvaluaciónRiesgoCorrup!$F$11&lt;51,F17=2,H17=10),$J$26,IF(AND(N17&gt;0,[5]EvaluaciónRiesgoCorrup!$F$11&lt;51,F17=2,H17=20),$K$26," ")))</f>
        <v xml:space="preserve"> </v>
      </c>
      <c r="BQ17" s="28" t="str">
        <f>IF(AND(N17&gt;0,[5]EvaluaciónRiesgoCorrup!$F$11&lt;51,F17=3,H17=5),$H$27,IF(AND(N17&gt;0,[5]EvaluaciónRiesgoCorrup!$F$11&lt;51,F17=3,H17=10),$J$27,IF(AND(N17&gt;0,[5]EvaluaciónRiesgoCorrup!$F$11&lt;51,F17=3,H17=20),$K$27," ")))</f>
        <v xml:space="preserve"> </v>
      </c>
      <c r="BR17" s="28" t="str">
        <f>IF(AND(N17&gt;0,[5]EvaluaciónRiesgoCorrup!$F$11&lt;51,F17=4,H17=5),$H$28,IF(AND(N17&gt;0,[5]EvaluaciónRiesgoCorrup!$F$11&lt;51,F17=4,H17=10),$J$28,IF(AND(N17&gt;0,[5]EvaluaciónRiesgoCorrup!$F$11&lt;51,F17=4,H17=20),$K$28," ")))</f>
        <v xml:space="preserve"> </v>
      </c>
      <c r="BS17" s="28" t="str">
        <f>IF(AND(N17&gt;0,[5]EvaluaciónRiesgoCorrup!$F$11&lt;51,F17=5,H17=5),$H$29,IF(AND(N17&gt;0,[5]EvaluaciónRiesgoCorrup!$F$11&lt;51,F17=5,H17=10),$J$29,IF(AND(N17&gt;0,[5]EvaluaciónRiesgoCorrup!$F$11&lt;51,F17=5,H17=20),$K$29," ")))</f>
        <v xml:space="preserve"> </v>
      </c>
    </row>
    <row r="18" spans="1:71" ht="153.75" customHeight="1" x14ac:dyDescent="0.35">
      <c r="A18" s="152" t="str">
        <f>IF(ISTEXT([7]IdentificaciónRiesgos!$B7),[7]IdentificaciónRiesgos!$A7,"")</f>
        <v>*Falta de controles y supervisión en la generación y difusión de productos finales.
*Uso de información no oficial</v>
      </c>
      <c r="B18" s="152" t="str">
        <f>IF(ISTEXT([7]IdentificaciónRiesgos!$B7),[7]IdentificaciónRiesgos!$B7,"")</f>
        <v>Manipulación de la información Hidrometeorológica y Ambiental para beneficio particular.</v>
      </c>
      <c r="C18" s="856" t="str">
        <f>IF(ISTEXT([6]IdentificaciónRiesgos!$B7),[6]IdentificaciónRiesgos!$C7,"")</f>
        <v>Se pueden generar actos de corrupcion en la elaboracion y tramite de productos e informes</v>
      </c>
      <c r="D18" s="152" t="str">
        <f>IF(ISTEXT([7]IdentificaciónRiesgos!$B7),[7]IdentificaciónRiesgos!$D7,"")</f>
        <v>Riesgos legales, perdida de imagen institucional.
Vulneración de derechos y planificación de políticas.</v>
      </c>
      <c r="E18" s="850" t="str">
        <f>IF(ISTEXT([6]IdentificaciónRiesgos!$B7),VLOOKUP($C18,[6]DefiniciónRiesgos!$A$4:$F$9,6,FALSE),"")</f>
        <v>RIESGO DE CORRUPCIÓN</v>
      </c>
      <c r="F18" s="851">
        <f>IF(ISTEXT([6]IdentificaciónRiesgos!$B7),IF(EXACT([6]AnálisisRiesgos!$B10,"X"),5,IF(EXACT([6]AnálisisRiesgos!$C10,"X"),4,IF(EXACT([6]AnálisisRiesgos!$D10,"X"),3,IF(EXACT([6]AnálisisRiesgos!$E10,"X"),2,IF(EXACT([6]AnálisisRiesgos!$F10,"X"),1,""))))),"")</f>
        <v>2</v>
      </c>
      <c r="G18" s="851" t="str">
        <f t="shared" si="0"/>
        <v>Improbable</v>
      </c>
      <c r="H18" s="852">
        <f>IF(EXACT($B18,""),"",IF(EXACT($E18,"RIESGO DE GESTIÓN"),IF(EXACT([6]AnálisisRiesgos!$G10,"X"),5,IF(EXACT([6]AnálisisRiesgos!$H10,"X"),4,IF(EXACT([6]AnálisisRiesgos!$I10,"X"),3,IF(EXACT([6]AnálisisRiesgos!$J10,"X"),2,1)))),IF(EXACT([6]AnálisisRiesgos!$L10,"X"),20,IF(EXACT([6]AnálisisRiesgos!$M10,"X"),10,5))))</f>
        <v>20</v>
      </c>
      <c r="I18" s="852" t="str">
        <f t="shared" si="1"/>
        <v>Catastrófico</v>
      </c>
      <c r="J18" s="23" t="str">
        <f>CONCATENATE(Y18,Z18,AA18,AB18,AC18)</f>
        <v xml:space="preserve"> A   </v>
      </c>
      <c r="K18" s="958" t="s">
        <v>604</v>
      </c>
      <c r="L18" s="1067"/>
      <c r="M18" s="1068"/>
      <c r="N18" s="26" t="s">
        <v>10</v>
      </c>
      <c r="O18" s="172" t="s">
        <v>48</v>
      </c>
      <c r="P18" s="854" t="s">
        <v>110</v>
      </c>
      <c r="Q18" s="855" t="s">
        <v>83</v>
      </c>
      <c r="R18" s="1012" t="s">
        <v>605</v>
      </c>
      <c r="S18" s="174" t="s">
        <v>606</v>
      </c>
      <c r="T18" s="857">
        <v>42947</v>
      </c>
      <c r="U18" s="945" t="s">
        <v>607</v>
      </c>
      <c r="V18" s="803" t="s">
        <v>608</v>
      </c>
      <c r="W18" s="958" t="s">
        <v>609</v>
      </c>
      <c r="Y18" s="28" t="str">
        <f>IF(AND(F18=1,H18=5),$H$25,IF(AND(F18=1,H18=10),$J$25,IF(AND(F18=1,H18=20),$K$25," ")))</f>
        <v xml:space="preserve"> </v>
      </c>
      <c r="Z18" s="28" t="str">
        <f>IF(AND(F18=2,H18=5),$H$26,IF(AND(F18=2,H18=10),$J$26,IF(AND(F18=2,H18=20),$K$26," ")))</f>
        <v>A</v>
      </c>
      <c r="AA18" s="28" t="str">
        <f>IF(AND(F18=3,H18=5),$H$27,IF(AND(F18=3,H18=10),$J$27,IF(AND(F18=3,H18=20),$K$27," ")))</f>
        <v xml:space="preserve"> </v>
      </c>
      <c r="AB18" s="28" t="str">
        <f>IF(AND(F18=4,H18=5),$H$28,IF(AND(F18=4,H18=10),$J$28,IF(AND(F18=4,H18=20),$K$28," ")))</f>
        <v xml:space="preserve"> </v>
      </c>
      <c r="AC18" s="28" t="str">
        <f>IF(AND(F18=5,H18=5),$H$29,IF(AND(F18=5,H18=10),$J$29,IF(AND(F18=5,H18=20),$K$29," ")))</f>
        <v xml:space="preserve"> </v>
      </c>
      <c r="AF18" s="28" t="str">
        <f>IF(AND(M18&gt;0,[5]EvaluaciónRiesgoCorrup!$F$11&gt;75,F18=1,H18=5),$H$25,IF(AND(M18&gt;0,[5]EvaluaciónRiesgoCorrup!$F$11&gt;75,F18=1,H18=10),$J$25,IF(AND(M18&gt;0,[5]EvaluaciónRiesgoCorrup!$F$11&gt;75,F18=1,H18=20),$K$25," ")))</f>
        <v xml:space="preserve"> </v>
      </c>
      <c r="AG18" s="28" t="str">
        <f>IF(AND(M18&gt;0,[5]EvaluaciónRiesgoCorrup!$F$11&gt;75,F18=2,H18=5),$H$25,IF(AND(M18&gt;0,[5]EvaluaciónRiesgoCorrup!$F$11&gt;75,F18=2,H18=10),$J$25,IF(AND(M18&gt;0,[5]EvaluaciónRiesgoCorrup!$F$11&gt;75,F18=2,H18=20),$K$25," ")))</f>
        <v xml:space="preserve"> </v>
      </c>
      <c r="AH18" s="28" t="str">
        <f>IF(AND(M18&gt;0,[5]EvaluaciónRiesgoCorrup!$F$11&gt;75,F18=3,H18=5),$H$25,IF(AND(M18&gt;0,[5]EvaluaciónRiesgoCorrup!$F$11&gt;75,F18=3,H18=10),$J$25,IF(AND(M18&gt;0,[5]EvaluaciónRiesgoCorrup!$F$11&gt;75,F18=3,H18=20),$K$25," ")))</f>
        <v xml:space="preserve"> </v>
      </c>
      <c r="AI18" s="28" t="str">
        <f>IF(AND(M18&gt;0,[5]EvaluaciónRiesgoCorrup!$F$11&gt;75,F18=4,H18=5),$H$26,IF(AND(M18&gt;0,[5]EvaluaciónRiesgoCorrup!$F$11&gt;75,F18=4,H18=10),$J$26,IF(AND(M18&gt;0,[5]EvaluaciónRiesgoCorrup!$F$11&gt;75,F18=4,H18=20),$K$26," ")))</f>
        <v xml:space="preserve"> </v>
      </c>
      <c r="AJ18" s="28" t="str">
        <f>IF(AND(M18&gt;0,[5]EvaluaciónRiesgoCorrup!$F$11&gt;75,F18=5,H18=5),$H$27,IF(AND(M18&gt;0,[5]EvaluaciónRiesgoCorrup!$F$11&gt;75,F18=5,H18=10),$J$27,IF(AND(M18&gt;0,[5]EvaluaciónRiesgoCorrup!$F$11&gt;75,F18=5,H18=20),$K$27," ")))</f>
        <v xml:space="preserve"> </v>
      </c>
      <c r="AL18" s="28" t="str">
        <f>IF(AND(M18&gt;0,[5]EvaluaciónRiesgoCorrup!$F$11&gt;50,[5]EvaluaciónRiesgoCorrup!$F$11&lt;76,F18=1,H18=5),$H$25,IF(AND(M18&gt;0,[5]EvaluaciónRiesgoCorrup!$F$11&gt;50,[5]EvaluaciónRiesgoCorrup!$F$11&lt;76,F18=1,H18=10),$J$25,IF(AND(M18&gt;0,[5]EvaluaciónRiesgoCorrup!$F$11&gt;50,[5]EvaluaciónRiesgoCorrup!$F$11&lt;76,F18=1,H18=20),$K$25," ")))</f>
        <v xml:space="preserve"> </v>
      </c>
      <c r="AM18" s="28" t="str">
        <f>IF(AND(M18&gt;0,[5]EvaluaciónRiesgoCorrup!$F$11&gt;50,[5]EvaluaciónRiesgoCorrup!$F$11&lt;76,F18=2,H18=5),$H$25,IF(AND(M18&gt;0,[5]EvaluaciónRiesgoCorrup!$F$11&gt;50,[5]EvaluaciónRiesgoCorrup!$F$11&lt;76,F18=2,H18=10),$J$25,IF(AND(M18&gt;0,[5]EvaluaciónRiesgoCorrup!$F$11&gt;50,[5]EvaluaciónRiesgoCorrup!$F$11&lt;76,F18=2,H18=20),$K$25," ")))</f>
        <v xml:space="preserve"> </v>
      </c>
      <c r="AN18" s="28" t="str">
        <f>IF(AND(M18&gt;0,[5]EvaluaciónRiesgoCorrup!$F$11&gt;50,[5]EvaluaciónRiesgoCorrup!$F$11&lt;76,F18=3,H18=5),$H$26,IF(AND(M18&gt;0,[5]EvaluaciónRiesgoCorrup!$F$11&gt;50,[5]EvaluaciónRiesgoCorrup!$F$11&lt;76,F18=3,H18=10),$J$26,IF(AND(M18&gt;0,[5]EvaluaciónRiesgoCorrup!$F$11&gt;50,[5]EvaluaciónRiesgoCorrup!$F$11&lt;76,F18=3,H18=20),$K$26," ")))</f>
        <v xml:space="preserve"> </v>
      </c>
      <c r="AO18" s="28" t="str">
        <f>IF(AND(M18&gt;0,[5]EvaluaciónRiesgoCorrup!$F$11&gt;50,[5]EvaluaciónRiesgoCorrup!$F$11&lt;76,F18=4,H18=5),$H$27,IF(AND(M18&gt;0,[5]EvaluaciónRiesgoCorrup!$F$11&gt;50,[5]EvaluaciónRiesgoCorrup!$F$11&lt;76,F18=4,H18=10),$J$27,IF(AND(M18&gt;0,[5]EvaluaciónRiesgoCorrup!$F$11&gt;50,[5]EvaluaciónRiesgoCorrup!$F$11&lt;76,F18=4,H18=20),$K$27," ")))</f>
        <v xml:space="preserve"> </v>
      </c>
      <c r="AP18" s="28" t="str">
        <f>IF(AND(M18&gt;0,[5]EvaluaciónRiesgoCorrup!$F$11&gt;50,[5]EvaluaciónRiesgoCorrup!$F$11&lt;76,F18=5,H18=5),$H$28,IF(AND(M18&gt;0,[5]EvaluaciónRiesgoCorrup!$F$11&gt;50,[5]EvaluaciónRiesgoCorrup!$F$11&lt;76,F18=5,H18=10),$J$28,IF(AND(M18&gt;0,[5]EvaluaciónRiesgoCorrup!$F$11&gt;50,[5]EvaluaciónRiesgoCorrup!$F$11&lt;76,F18=5,H18=20),$K$28," ")))</f>
        <v xml:space="preserve"> </v>
      </c>
      <c r="AS18" s="28" t="str">
        <f>IF(AND(M18&gt;0,[5]EvaluaciónRiesgoCorrup!$F$11&lt;51,F18=1,H18=5),$H$25,IF(AND(M18&gt;0,[5]EvaluaciónRiesgoCorrup!$F$11&lt;51,F18=1,H18=10),$J$25,IF(AND(M18&gt;0,[5]EvaluaciónRiesgoCorrup!$F$11&lt;51,F18=1,H18=20),K$25," ")))</f>
        <v xml:space="preserve"> </v>
      </c>
      <c r="AT18" s="28" t="str">
        <f>IF(AND(M18&gt;0,[5]EvaluaciónRiesgoCorrup!$F$11&lt;51,F18=2,H18=5),$H$26,IF(AND(M18&gt;0,[5]EvaluaciónRiesgoCorrup!$F$11&lt;51,F18=2,H18=10),$J$26,IF(AND(M18&gt;0,[5]EvaluaciónRiesgoCorrup!$F$11&lt;51,F18=2,H18=20),K$26," ")))</f>
        <v xml:space="preserve"> </v>
      </c>
      <c r="AU18" s="28" t="str">
        <f>IF(AND(M18&gt;0,[5]EvaluaciónRiesgoCorrup!$F$11&lt;51,F18=3,H18=5),$H$27,IF(AND(M18&gt;0,[5]EvaluaciónRiesgoCorrup!$F$11&lt;51,F18=3,H18=10),$J$27,IF(AND(M18&gt;0,[5]EvaluaciónRiesgoCorrup!$F$11&lt;51,F18=3,H18=20),K$27," ")))</f>
        <v xml:space="preserve"> </v>
      </c>
      <c r="AV18" s="28" t="str">
        <f>IF(AND(M18&gt;0,[5]EvaluaciónRiesgoCorrup!$F$11&lt;51,F18=4,H18=5),$H$28,IF(AND(M18&gt;0,[5]EvaluaciónRiesgoCorrup!$F$11&lt;51,F18=4,H18=10),$J$28,IF(AND(M18&gt;0,[5]EvaluaciónRiesgoCorrup!$F$11&lt;51,F18=4,H18=20),K$28," ")))</f>
        <v xml:space="preserve"> </v>
      </c>
      <c r="AW18" s="28" t="str">
        <f>IF(AND(M18&gt;0,[5]EvaluaciónRiesgoCorrup!$F$11&lt;51,F18=5,H18=5),$H$29,IF(AND(M18&gt;0,[5]EvaluaciónRiesgoCorrup!$F$11&lt;51,F18=5,H18=10),$J$29,IF(AND(M18&gt;0,[5]EvaluaciónRiesgoCorrup!$F$11&lt;51,F18=5,H18=20),K$29," ")))</f>
        <v xml:space="preserve"> </v>
      </c>
      <c r="BA18" s="28" t="str">
        <f>IF(AND(N18&gt;0,[5]EvaluaciónRiesgoCorrup!$F$11&gt;75,F18=1,H18=5),$H$25,IF(AND(N18&gt;0,[5]EvaluaciónRiesgoCorrup!$F$11&gt;75,F18=1,H18=10),$H$25,IF(AND(N18&gt;0,[5]EvaluaciónRiesgoCorrup!$F$11&gt;75,F18=1,H18=20),$H$25," ")))</f>
        <v xml:space="preserve"> </v>
      </c>
      <c r="BB18" s="28" t="str">
        <f>IF(AND(N18&gt;0,[5]EvaluaciónRiesgoCorrup!$F$11&gt;75,F18=2,H18=5),$H$26,IF(AND(N18&gt;0,[5]EvaluaciónRiesgoCorrup!$F$11&gt;75,F18=2,H18=10),$H$26,IF(AND(N18&gt;0,[5]EvaluaciónRiesgoCorrup!$F$11&gt;75,F18=2,H18=20),$H$26," ")))</f>
        <v>B</v>
      </c>
      <c r="BC18" s="28" t="str">
        <f>IF(AND(N18&gt;0,[5]EvaluaciónRiesgoCorrup!$F$11&gt;75,F18=3,H18=5),$H$27,IF(AND(N18&gt;0,[5]EvaluaciónRiesgoCorrup!$F$11&gt;75,F18=3,H18=10),$H$27,IF(AND(N18&gt;0,[5]EvaluaciónRiesgoCorrup!$F$11&gt;75,F18=3,H18=20),$H$27," ")))</f>
        <v xml:space="preserve"> </v>
      </c>
      <c r="BD18" s="28" t="str">
        <f>IF(AND(N18&gt;0,[5]EvaluaciónRiesgoCorrup!$F$11&gt;75,F18=4,H18=5),$H$28,IF(AND(N18&gt;0,[5]EvaluaciónRiesgoCorrup!$F$11&gt;75,F18=4,H18=10),$H$28,IF(AND(N18&gt;0,[5]EvaluaciónRiesgoCorrup!$F$11&gt;75,F18=4,H18=20),$H$28," ")))</f>
        <v xml:space="preserve"> </v>
      </c>
      <c r="BE18" s="28" t="str">
        <f>IF(AND(N18&gt;0,[5]EvaluaciónRiesgoCorrup!$F$11&gt;75,F18=5,H18=5),$H$29,IF(AND(N18&gt;0,[5]EvaluaciónRiesgoCorrup!$F$11&gt;75,F18=5,H18=10),$H$29,IF(AND(N18&gt;0,[5]EvaluaciónRiesgoCorrup!$F$11&gt;75,F18=5,H18=20),$H$29," ")))</f>
        <v xml:space="preserve"> </v>
      </c>
      <c r="BH18" s="28" t="str">
        <f>IF(AND(N18&gt;0,[5]EvaluaciónRiesgoCorrup!$F$11&gt;50,[5]EvaluaciónRiesgoCorrup!$F$11&lt;76,F18=1,H18=5),$H$25,IF(AND(N18&gt;0,[5]EvaluaciónRiesgoCorrup!$F$11&gt;50,[5]EvaluaciónRiesgoCorrup!$F$11&lt;76,F18=1,H18=10),$H$25,IF(AND(N18&gt;0,[5]EvaluaciónRiesgoCorrup!$F$11&gt;50,[5]EvaluaciónRiesgoCorrup!$F$11&lt;76,F18=1,H18=20),$J$25," ")))</f>
        <v xml:space="preserve"> </v>
      </c>
      <c r="BI18" s="28" t="str">
        <f>IF(AND(N18&gt;0,[5]EvaluaciónRiesgoCorrup!$F$11&gt;50,[5]EvaluaciónRiesgoCorrup!$F$11&lt;76,F18=2,H18=5),$H$26,IF(AND(N18&gt;0,[5]EvaluaciónRiesgoCorrup!$F$11&gt;50,[5]EvaluaciónRiesgoCorrup!$F$11&lt;76,F18=2,H18=10),$H$26,IF(AND(N18&gt;0,[5]EvaluaciónRiesgoCorrup!$F$11&gt;50,[5]EvaluaciónRiesgoCorrup!$F$11&lt;76,F18=2,H18=20),$J$26," ")))</f>
        <v xml:space="preserve"> </v>
      </c>
      <c r="BJ18" s="28" t="str">
        <f>IF(AND(N18&gt;0,[5]EvaluaciónRiesgoCorrup!$F$11&gt;50,[5]EvaluaciónRiesgoCorrup!$F$11&lt;76,F18=3,H18=5),$H$27,IF(AND(N18&gt;0,[5]EvaluaciónRiesgoCorrup!$F$11&gt;50,[5]EvaluaciónRiesgoCorrup!$F$11&lt;76,F18=3,H18=10),$H$27,IF(AND(N18&gt;0,[5]EvaluaciónRiesgoCorrup!$F$11&gt;50,[5]EvaluaciónRiesgoCorrup!$F$11&lt;76,F18=3,H18=20),$J$27," ")))</f>
        <v xml:space="preserve"> </v>
      </c>
      <c r="BK18" s="28" t="str">
        <f>IF(AND(N18&gt;0,[5]EvaluaciónRiesgoCorrup!$F$11&gt;50,[5]EvaluaciónRiesgoCorrup!$F$11&lt;76,F18=4,H18=5),$H$28,IF(AND(N18&gt;0,[5]EvaluaciónRiesgoCorrup!$F$11&gt;50,[5]EvaluaciónRiesgoCorrup!$F$11&lt;76,F18=4,H18=10),$H$28,IF(AND(N18&gt;0,[5]EvaluaciónRiesgoCorrup!$F$11&gt;50,[5]EvaluaciónRiesgoCorrup!$F$11&lt;76,F18=4,H18=20),$J$28," ")))</f>
        <v xml:space="preserve"> </v>
      </c>
      <c r="BL18" s="28" t="str">
        <f>IF(AND(N18&gt;0,[5]EvaluaciónRiesgoCorrup!$F$11&gt;50,[5]EvaluaciónRiesgoCorrup!$F$11&lt;76,F18=5,H18=5),$H$29,IF(AND(N18&gt;0,[5]EvaluaciónRiesgoCorrup!$F$11&gt;50,[5]EvaluaciónRiesgoCorrup!$F$11&lt;76,F18=5,H18=10),$H$29,IF(AND(N18&gt;0,[5]EvaluaciónRiesgoCorrup!$F$11&gt;50,[5]EvaluaciónRiesgoCorrup!$F$11&lt;76,F18=5,H18=20),$J$29," ")))</f>
        <v xml:space="preserve"> </v>
      </c>
      <c r="BO18" s="28" t="str">
        <f>IF(AND(N18&gt;0,[5]EvaluaciónRiesgoCorrup!$F$11&lt;51,F18=1,H18=5),$H$25,IF(AND(N18&gt;0,[5]EvaluaciónRiesgoCorrup!$F$11&lt;51,F18=1,H18=10),$J$25,IF(AND(N18&gt;0,[5]EvaluaciónRiesgoCorrup!$F$11&lt;51,F18=1,H18=20),$K$25," ")))</f>
        <v xml:space="preserve"> </v>
      </c>
      <c r="BP18" s="28" t="str">
        <f>IF(AND(N18&gt;0,[5]EvaluaciónRiesgoCorrup!$F$11&lt;51,F18=2,H18=5),$H$26,IF(AND(N18&gt;0,[5]EvaluaciónRiesgoCorrup!$F$11&lt;51,F18=2,H18=10),$J$26,IF(AND(N18&gt;0,[5]EvaluaciónRiesgoCorrup!$F$11&lt;51,F18=2,H18=20),$K$26," ")))</f>
        <v xml:space="preserve"> </v>
      </c>
      <c r="BQ18" s="28" t="str">
        <f>IF(AND(N18&gt;0,[5]EvaluaciónRiesgoCorrup!$F$11&lt;51,F18=3,H18=5),$H$27,IF(AND(N18&gt;0,[5]EvaluaciónRiesgoCorrup!$F$11&lt;51,F18=3,H18=10),$J$27,IF(AND(N18&gt;0,[5]EvaluaciónRiesgoCorrup!$F$11&lt;51,F18=3,H18=20),$K$27," ")))</f>
        <v xml:space="preserve"> </v>
      </c>
      <c r="BR18" s="28" t="str">
        <f>IF(AND(N18&gt;0,[5]EvaluaciónRiesgoCorrup!$F$11&lt;51,F18=4,H18=5),$H$28,IF(AND(N18&gt;0,[5]EvaluaciónRiesgoCorrup!$F$11&lt;51,F18=4,H18=10),$J$28,IF(AND(N18&gt;0,[5]EvaluaciónRiesgoCorrup!$F$11&lt;51,F18=4,H18=20),$K$28," ")))</f>
        <v xml:space="preserve"> </v>
      </c>
      <c r="BS18" s="28" t="str">
        <f>IF(AND(N18&gt;0,[5]EvaluaciónRiesgoCorrup!$F$11&lt;51,F18=5,H18=5),$H$29,IF(AND(N18&gt;0,[5]EvaluaciónRiesgoCorrup!$F$11&lt;51,F18=5,H18=10),$J$29,IF(AND(N18&gt;0,[5]EvaluaciónRiesgoCorrup!$F$11&lt;51,F18=5,H18=20),$K$29," ")))</f>
        <v xml:space="preserve"> </v>
      </c>
    </row>
    <row r="19" spans="1:71" ht="153.75" customHeight="1" x14ac:dyDescent="0.35">
      <c r="A19" s="50">
        <f>[5]IdentRiesgo!A8</f>
        <v>0</v>
      </c>
      <c r="B19" s="22">
        <f>[5]IdentRiesgo!B8</f>
        <v>0</v>
      </c>
      <c r="C19" s="408"/>
      <c r="D19" s="22">
        <f>[5]IdentRiesgo!D8</f>
        <v>0</v>
      </c>
      <c r="E19" s="408"/>
      <c r="F19" s="23" t="str">
        <f>IF([5]AnálisisRiesgo!B11&gt;0,5,IF([5]AnálisisRiesgo!C11&gt;0,4,IF([5]AnálisisRiesgo!D11&gt;0,3,IF([5]AnálisisRiesgo!E11&gt;0,2,IF([5]AnálisisRiesgo!F11&gt;0,1,"")))))</f>
        <v/>
      </c>
      <c r="G19" s="548"/>
      <c r="H19" s="23" t="str">
        <f>IF([5]AnálisisRiesgo!G11&gt;0,5,IF([5]AnálisisRiesgo!H11&gt;0,4,IF([5]AnálisisRiesgo!I11&gt;0,3,IF([5]AnálisisRiesgo!J11&gt;0,2,IF([5]AnálisisRiesgo!K11&gt;0,1,IF([5]AnálisisRiesgo!L11&gt;0,20,IF([5]AnálisisRiesgo!M11&gt;0,10,IF([5]AnálisisRiesgo!N11&gt;0,5,""))))))))</f>
        <v/>
      </c>
      <c r="I19" s="548"/>
      <c r="J19" s="23" t="str">
        <f>CONCATENATE(Y19,Z19,AA19,AB19,AC19)</f>
        <v xml:space="preserve">     </v>
      </c>
      <c r="K19" s="24"/>
      <c r="L19" s="233"/>
      <c r="M19" s="25"/>
      <c r="N19" s="26"/>
      <c r="O19" s="23" t="str">
        <f>CONCATENATE(AF19,AG19,AH19,AI19,AJ19,AL19,AM19,AN19,AO19,AP19,AS19,AT19,AU19,AV19,AW19,BA19,BB19,BC19,BD19,BE19,BH19,BI19,BJ19,BK19,BL19,BO19,BP19,BQ19,BR19,BS19)</f>
        <v xml:space="preserve">                              </v>
      </c>
      <c r="P19" s="548"/>
      <c r="Q19" s="23"/>
      <c r="R19" s="23"/>
      <c r="S19" s="23"/>
      <c r="T19" s="27"/>
      <c r="U19" s="27"/>
      <c r="V19" s="27"/>
      <c r="W19" s="28"/>
      <c r="Y19" s="28" t="str">
        <f>IF(AND(F19=1,H19=5),$H$25,IF(AND(F19=1,H19=10),$J$25,IF(AND(F19=1,H19=20),$K$25," ")))</f>
        <v xml:space="preserve"> </v>
      </c>
      <c r="Z19" s="28" t="str">
        <f>IF(AND(F19=2,H19=5),$H$26,IF(AND(F19=2,H19=10),$J$26,IF(AND(F19=2,H19=20),$K$26," ")))</f>
        <v xml:space="preserve"> </v>
      </c>
      <c r="AA19" s="28" t="str">
        <f>IF(AND(F19=3,H19=5),$H$27,IF(AND(F19=3,H19=10),$J$27,IF(AND(F19=3,H19=20),$K$27," ")))</f>
        <v xml:space="preserve"> </v>
      </c>
      <c r="AB19" s="28" t="str">
        <f>IF(AND(F19=4,H19=5),$H$28,IF(AND(F19=4,H19=10),$J$28,IF(AND(F19=4,H19=20),$K$28," ")))</f>
        <v xml:space="preserve"> </v>
      </c>
      <c r="AC19" s="28" t="str">
        <f>IF(AND(F19=5,H19=5),$H$29,IF(AND(F19=5,H19=10),$J$29,IF(AND(F19=5,H19=20),$K$29," ")))</f>
        <v xml:space="preserve"> </v>
      </c>
      <c r="AF19" s="28" t="str">
        <f>IF(AND(M19&gt;0,[5]EvaluaciónRiesgoCorrup!$F$11&gt;75,F19=1,H19=5),$H$25,IF(AND(M19&gt;0,[5]EvaluaciónRiesgoCorrup!$F$11&gt;75,F19=1,H19=10),$J$25,IF(AND(M19&gt;0,[5]EvaluaciónRiesgoCorrup!$F$11&gt;75,F19=1,H19=20),$K$25," ")))</f>
        <v xml:space="preserve"> </v>
      </c>
      <c r="AG19" s="28" t="str">
        <f>IF(AND(M19&gt;0,[5]EvaluaciónRiesgoCorrup!$F$11&gt;75,F19=2,H19=5),$H$25,IF(AND(M19&gt;0,[5]EvaluaciónRiesgoCorrup!$F$11&gt;75,F19=2,H19=10),$J$25,IF(AND(M19&gt;0,[5]EvaluaciónRiesgoCorrup!$F$11&gt;75,F19=2,H19=20),$K$25," ")))</f>
        <v xml:space="preserve"> </v>
      </c>
      <c r="AH19" s="28" t="str">
        <f>IF(AND(M19&gt;0,[5]EvaluaciónRiesgoCorrup!$F$11&gt;75,F19=3,H19=5),$H$25,IF(AND(M19&gt;0,[5]EvaluaciónRiesgoCorrup!$F$11&gt;75,F19=3,H19=10),$J$25,IF(AND(M19&gt;0,[5]EvaluaciónRiesgoCorrup!$F$11&gt;75,F19=3,H19=20),$K$25," ")))</f>
        <v xml:space="preserve"> </v>
      </c>
      <c r="AI19" s="28" t="str">
        <f>IF(AND(M19&gt;0,[5]EvaluaciónRiesgoCorrup!$F$11&gt;75,F19=4,H19=5),$H$26,IF(AND(M19&gt;0,[5]EvaluaciónRiesgoCorrup!$F$11&gt;75,F19=4,H19=10),$J$26,IF(AND(M19&gt;0,[5]EvaluaciónRiesgoCorrup!$F$11&gt;75,F19=4,H19=20),$K$26," ")))</f>
        <v xml:space="preserve"> </v>
      </c>
      <c r="AJ19" s="28" t="str">
        <f>IF(AND(M19&gt;0,[5]EvaluaciónRiesgoCorrup!$F$11&gt;75,F19=5,H19=5),$H$27,IF(AND(M19&gt;0,[5]EvaluaciónRiesgoCorrup!$F$11&gt;75,F19=5,H19=10),$J$27,IF(AND(M19&gt;0,[5]EvaluaciónRiesgoCorrup!$F$11&gt;75,F19=5,H19=20),$K$27," ")))</f>
        <v xml:space="preserve"> </v>
      </c>
      <c r="AL19" s="28" t="str">
        <f>IF(AND(M19&gt;0,[5]EvaluaciónRiesgoCorrup!$F$11&gt;50,[5]EvaluaciónRiesgoCorrup!$F$11&lt;76,F19=1,H19=5),$H$25,IF(AND(M19&gt;0,[5]EvaluaciónRiesgoCorrup!$F$11&gt;50,[5]EvaluaciónRiesgoCorrup!$F$11&lt;76,F19=1,H19=10),$J$25,IF(AND(M19&gt;0,[5]EvaluaciónRiesgoCorrup!$F$11&gt;50,[5]EvaluaciónRiesgoCorrup!$F$11&lt;76,F19=1,H19=20),$K$25," ")))</f>
        <v xml:space="preserve"> </v>
      </c>
      <c r="AM19" s="28" t="str">
        <f>IF(AND(M19&gt;0,[5]EvaluaciónRiesgoCorrup!$F$11&gt;50,[5]EvaluaciónRiesgoCorrup!$F$11&lt;76,F19=2,H19=5),$H$25,IF(AND(M19&gt;0,[5]EvaluaciónRiesgoCorrup!$F$11&gt;50,[5]EvaluaciónRiesgoCorrup!$F$11&lt;76,F19=2,H19=10),$J$25,IF(AND(M19&gt;0,[5]EvaluaciónRiesgoCorrup!$F$11&gt;50,[5]EvaluaciónRiesgoCorrup!$F$11&lt;76,F19=2,H19=20),$K$25," ")))</f>
        <v xml:space="preserve"> </v>
      </c>
      <c r="AN19" s="28" t="str">
        <f>IF(AND(M19&gt;0,[5]EvaluaciónRiesgoCorrup!$F$11&gt;50,[5]EvaluaciónRiesgoCorrup!$F$11&lt;76,F19=3,H19=5),$H$26,IF(AND(M19&gt;0,[5]EvaluaciónRiesgoCorrup!$F$11&gt;50,[5]EvaluaciónRiesgoCorrup!$F$11&lt;76,F19=3,H19=10),$J$26,IF(AND(M19&gt;0,[5]EvaluaciónRiesgoCorrup!$F$11&gt;50,[5]EvaluaciónRiesgoCorrup!$F$11&lt;76,F19=3,H19=20),$K$26," ")))</f>
        <v xml:space="preserve"> </v>
      </c>
      <c r="AO19" s="28" t="str">
        <f>IF(AND(M19&gt;0,[5]EvaluaciónRiesgoCorrup!$F$11&gt;50,[5]EvaluaciónRiesgoCorrup!$F$11&lt;76,F19=4,H19=5),$H$27,IF(AND(M19&gt;0,[5]EvaluaciónRiesgoCorrup!$F$11&gt;50,[5]EvaluaciónRiesgoCorrup!$F$11&lt;76,F19=4,H19=10),$J$27,IF(AND(M19&gt;0,[5]EvaluaciónRiesgoCorrup!$F$11&gt;50,[5]EvaluaciónRiesgoCorrup!$F$11&lt;76,F19=4,H19=20),$K$27," ")))</f>
        <v xml:space="preserve"> </v>
      </c>
      <c r="AP19" s="28" t="str">
        <f>IF(AND(M19&gt;0,[5]EvaluaciónRiesgoCorrup!$F$11&gt;50,[5]EvaluaciónRiesgoCorrup!$F$11&lt;76,F19=5,H19=5),$H$28,IF(AND(M19&gt;0,[5]EvaluaciónRiesgoCorrup!$F$11&gt;50,[5]EvaluaciónRiesgoCorrup!$F$11&lt;76,F19=5,H19=10),$J$28,IF(AND(M19&gt;0,[5]EvaluaciónRiesgoCorrup!$F$11&gt;50,[5]EvaluaciónRiesgoCorrup!$F$11&lt;76,F19=5,H19=20),$K$28," ")))</f>
        <v xml:space="preserve"> </v>
      </c>
      <c r="AS19" s="28" t="str">
        <f>IF(AND(M19&gt;0,[5]EvaluaciónRiesgoCorrup!$F$11&lt;51,F19=1,H19=5),$H$25,IF(AND(M19&gt;0,[5]EvaluaciónRiesgoCorrup!$F$11&lt;51,F19=1,H19=10),$J$25,IF(AND(M19&gt;0,[5]EvaluaciónRiesgoCorrup!$F$11&lt;51,F19=1,H19=20),K$25," ")))</f>
        <v xml:space="preserve"> </v>
      </c>
      <c r="AT19" s="28" t="str">
        <f>IF(AND(M19&gt;0,[5]EvaluaciónRiesgoCorrup!$F$11&lt;51,F19=2,H19=5),$H$26,IF(AND(M19&gt;0,[5]EvaluaciónRiesgoCorrup!$F$11&lt;51,F19=2,H19=10),$J$26,IF(AND(M19&gt;0,[5]EvaluaciónRiesgoCorrup!$F$11&lt;51,F19=2,H19=20),K$26," ")))</f>
        <v xml:space="preserve"> </v>
      </c>
      <c r="AU19" s="28" t="str">
        <f>IF(AND(M19&gt;0,[5]EvaluaciónRiesgoCorrup!$F$11&lt;51,F19=3,H19=5),$H$27,IF(AND(M19&gt;0,[5]EvaluaciónRiesgoCorrup!$F$11&lt;51,F19=3,H19=10),$J$27,IF(AND(M19&gt;0,[5]EvaluaciónRiesgoCorrup!$F$11&lt;51,F19=3,H19=20),K$27," ")))</f>
        <v xml:space="preserve"> </v>
      </c>
      <c r="AV19" s="28" t="str">
        <f>IF(AND(M19&gt;0,[5]EvaluaciónRiesgoCorrup!$F$11&lt;51,F19=4,H19=5),$H$28,IF(AND(M19&gt;0,[5]EvaluaciónRiesgoCorrup!$F$11&lt;51,F19=4,H19=10),$J$28,IF(AND(M19&gt;0,[5]EvaluaciónRiesgoCorrup!$F$11&lt;51,F19=4,H19=20),K$28," ")))</f>
        <v xml:space="preserve"> </v>
      </c>
      <c r="AW19" s="28" t="str">
        <f>IF(AND(M19&gt;0,[5]EvaluaciónRiesgoCorrup!$F$11&lt;51,F19=5,H19=5),$H$29,IF(AND(M19&gt;0,[5]EvaluaciónRiesgoCorrup!$F$11&lt;51,F19=5,H19=10),$J$29,IF(AND(M19&gt;0,[5]EvaluaciónRiesgoCorrup!$F$11&lt;51,F19=5,H19=20),K$29," ")))</f>
        <v xml:space="preserve"> </v>
      </c>
      <c r="BA19" s="28" t="str">
        <f>IF(AND(N19&gt;0,[5]EvaluaciónRiesgoCorrup!$F$11&gt;75,F19=1,H19=5),$H$25,IF(AND(N19&gt;0,[5]EvaluaciónRiesgoCorrup!$F$11&gt;75,F19=1,H19=10),$H$25,IF(AND(N19&gt;0,[5]EvaluaciónRiesgoCorrup!$F$11&gt;75,F19=1,H19=20),$H$25," ")))</f>
        <v xml:space="preserve"> </v>
      </c>
      <c r="BB19" s="28" t="str">
        <f>IF(AND(N19&gt;0,[5]EvaluaciónRiesgoCorrup!$F$11&gt;75,F19=2,H19=5),$H$26,IF(AND(N19&gt;0,[5]EvaluaciónRiesgoCorrup!$F$11&gt;75,F19=2,H19=10),$H$26,IF(AND(N19&gt;0,[5]EvaluaciónRiesgoCorrup!$F$11&gt;75,F19=2,H19=20),$H$26," ")))</f>
        <v xml:space="preserve"> </v>
      </c>
      <c r="BC19" s="28" t="str">
        <f>IF(AND(N19&gt;0,[5]EvaluaciónRiesgoCorrup!$F$11&gt;75,F19=3,H19=5),$H$27,IF(AND(N19&gt;0,[5]EvaluaciónRiesgoCorrup!$F$11&gt;75,F19=3,H19=10),$H$27,IF(AND(N19&gt;0,[5]EvaluaciónRiesgoCorrup!$F$11&gt;75,F19=3,H19=20),$H$27," ")))</f>
        <v xml:space="preserve"> </v>
      </c>
      <c r="BD19" s="28" t="str">
        <f>IF(AND(N19&gt;0,[5]EvaluaciónRiesgoCorrup!$F$11&gt;75,F19=4,H19=5),$H$28,IF(AND(N19&gt;0,[5]EvaluaciónRiesgoCorrup!$F$11&gt;75,F19=4,H19=10),$H$28,IF(AND(N19&gt;0,[5]EvaluaciónRiesgoCorrup!$F$11&gt;75,F19=4,H19=20),$H$28," ")))</f>
        <v xml:space="preserve"> </v>
      </c>
      <c r="BE19" s="28" t="str">
        <f>IF(AND(N19&gt;0,[5]EvaluaciónRiesgoCorrup!$F$11&gt;75,F19=5,H19=5),$H$29,IF(AND(N19&gt;0,[5]EvaluaciónRiesgoCorrup!$F$11&gt;75,F19=5,H19=10),$H$29,IF(AND(N19&gt;0,[5]EvaluaciónRiesgoCorrup!$F$11&gt;75,F19=5,H19=20),$H$29," ")))</f>
        <v xml:space="preserve"> </v>
      </c>
      <c r="BH19" s="28" t="str">
        <f>IF(AND(N19&gt;0,[5]EvaluaciónRiesgoCorrup!$F$11&gt;50,[5]EvaluaciónRiesgoCorrup!$F$11&lt;76,F19=1,H19=5),$H$25,IF(AND(N19&gt;0,[5]EvaluaciónRiesgoCorrup!$F$11&gt;50,[5]EvaluaciónRiesgoCorrup!$F$11&lt;76,F19=1,H19=10),$H$25,IF(AND(N19&gt;0,[5]EvaluaciónRiesgoCorrup!$F$11&gt;50,[5]EvaluaciónRiesgoCorrup!$F$11&lt;76,F19=1,H19=20),$J$25," ")))</f>
        <v xml:space="preserve"> </v>
      </c>
      <c r="BI19" s="28" t="str">
        <f>IF(AND(N19&gt;0,[5]EvaluaciónRiesgoCorrup!$F$11&gt;50,[5]EvaluaciónRiesgoCorrup!$F$11&lt;76,F19=2,H19=5),$H$26,IF(AND(N19&gt;0,[5]EvaluaciónRiesgoCorrup!$F$11&gt;50,[5]EvaluaciónRiesgoCorrup!$F$11&lt;76,F19=2,H19=10),$H$26,IF(AND(N19&gt;0,[5]EvaluaciónRiesgoCorrup!$F$11&gt;50,[5]EvaluaciónRiesgoCorrup!$F$11&lt;76,F19=2,H19=20),$J$26," ")))</f>
        <v xml:space="preserve"> </v>
      </c>
      <c r="BJ19" s="28" t="str">
        <f>IF(AND(N19&gt;0,[5]EvaluaciónRiesgoCorrup!$F$11&gt;50,[5]EvaluaciónRiesgoCorrup!$F$11&lt;76,F19=3,H19=5),$H$27,IF(AND(N19&gt;0,[5]EvaluaciónRiesgoCorrup!$F$11&gt;50,[5]EvaluaciónRiesgoCorrup!$F$11&lt;76,F19=3,H19=10),$H$27,IF(AND(N19&gt;0,[5]EvaluaciónRiesgoCorrup!$F$11&gt;50,[5]EvaluaciónRiesgoCorrup!$F$11&lt;76,F19=3,H19=20),$J$27," ")))</f>
        <v xml:space="preserve"> </v>
      </c>
      <c r="BK19" s="28" t="str">
        <f>IF(AND(N19&gt;0,[5]EvaluaciónRiesgoCorrup!$F$11&gt;50,[5]EvaluaciónRiesgoCorrup!$F$11&lt;76,F19=4,H19=5),$H$28,IF(AND(N19&gt;0,[5]EvaluaciónRiesgoCorrup!$F$11&gt;50,[5]EvaluaciónRiesgoCorrup!$F$11&lt;76,F19=4,H19=10),$H$28,IF(AND(N19&gt;0,[5]EvaluaciónRiesgoCorrup!$F$11&gt;50,[5]EvaluaciónRiesgoCorrup!$F$11&lt;76,F19=4,H19=20),$J$28," ")))</f>
        <v xml:space="preserve"> </v>
      </c>
      <c r="BL19" s="28" t="str">
        <f>IF(AND(N19&gt;0,[5]EvaluaciónRiesgoCorrup!$F$11&gt;50,[5]EvaluaciónRiesgoCorrup!$F$11&lt;76,F19=5,H19=5),$H$29,IF(AND(N19&gt;0,[5]EvaluaciónRiesgoCorrup!$F$11&gt;50,[5]EvaluaciónRiesgoCorrup!$F$11&lt;76,F19=5,H19=10),$H$29,IF(AND(N19&gt;0,[5]EvaluaciónRiesgoCorrup!$F$11&gt;50,[5]EvaluaciónRiesgoCorrup!$F$11&lt;76,F19=5,H19=20),$J$29," ")))</f>
        <v xml:space="preserve"> </v>
      </c>
      <c r="BO19" s="28" t="str">
        <f>IF(AND(N19&gt;0,[5]EvaluaciónRiesgoCorrup!$F$11&lt;51,F19=1,H19=5),$H$25,IF(AND(N19&gt;0,[5]EvaluaciónRiesgoCorrup!$F$11&lt;51,F19=1,H19=10),$J$25,IF(AND(N19&gt;0,[5]EvaluaciónRiesgoCorrup!$F$11&lt;51,F19=1,H19=20),$K$25," ")))</f>
        <v xml:space="preserve"> </v>
      </c>
      <c r="BP19" s="28" t="str">
        <f>IF(AND(N19&gt;0,[5]EvaluaciónRiesgoCorrup!$F$11&lt;51,F19=2,H19=5),$H$26,IF(AND(N19&gt;0,[5]EvaluaciónRiesgoCorrup!$F$11&lt;51,F19=2,H19=10),$J$26,IF(AND(N19&gt;0,[5]EvaluaciónRiesgoCorrup!$F$11&lt;51,F19=2,H19=20),$K$26," ")))</f>
        <v xml:space="preserve"> </v>
      </c>
      <c r="BQ19" s="28" t="str">
        <f>IF(AND(N19&gt;0,[5]EvaluaciónRiesgoCorrup!$F$11&lt;51,F19=3,H19=5),$H$27,IF(AND(N19&gt;0,[5]EvaluaciónRiesgoCorrup!$F$11&lt;51,F19=3,H19=10),$J$27,IF(AND(N19&gt;0,[5]EvaluaciónRiesgoCorrup!$F$11&lt;51,F19=3,H19=20),$K$27," ")))</f>
        <v xml:space="preserve"> </v>
      </c>
      <c r="BR19" s="28" t="str">
        <f>IF(AND(N19&gt;0,[5]EvaluaciónRiesgoCorrup!$F$11&lt;51,F19=4,H19=5),$H$28,IF(AND(N19&gt;0,[5]EvaluaciónRiesgoCorrup!$F$11&lt;51,F19=4,H19=10),$J$28,IF(AND(N19&gt;0,[5]EvaluaciónRiesgoCorrup!$F$11&lt;51,F19=4,H19=20),$K$28," ")))</f>
        <v xml:space="preserve"> </v>
      </c>
      <c r="BS19" s="28" t="str">
        <f>IF(AND(N19&gt;0,[5]EvaluaciónRiesgoCorrup!$F$11&lt;51,F19=5,H19=5),$H$29,IF(AND(N19&gt;0,[5]EvaluaciónRiesgoCorrup!$F$11&lt;51,F19=5,H19=10),$J$29,IF(AND(N19&gt;0,[5]EvaluaciónRiesgoCorrup!$F$11&lt;51,F19=5,H19=20),$K$29," ")))</f>
        <v xml:space="preserve"> </v>
      </c>
    </row>
    <row r="20" spans="1:71" x14ac:dyDescent="0.35">
      <c r="A20" s="50"/>
      <c r="B20" s="22"/>
      <c r="C20" s="408"/>
      <c r="D20" s="22"/>
      <c r="E20" s="99"/>
    </row>
    <row r="21" spans="1:71" x14ac:dyDescent="0.35">
      <c r="A21" s="28"/>
      <c r="B21" s="30"/>
      <c r="C21" s="410"/>
      <c r="D21" s="30"/>
      <c r="E21" s="423"/>
    </row>
    <row r="22" spans="1:71" ht="14.5" thickBot="1" x14ac:dyDescent="0.4">
      <c r="A22" s="28"/>
      <c r="B22" s="30"/>
      <c r="C22" s="410"/>
      <c r="D22" s="30"/>
      <c r="E22" s="423"/>
      <c r="H22" s="32"/>
      <c r="I22" s="424"/>
      <c r="J22" s="32"/>
    </row>
    <row r="23" spans="1:71" ht="14.5" thickBot="1" x14ac:dyDescent="0.4">
      <c r="A23" s="6"/>
      <c r="B23" s="33"/>
      <c r="C23" s="423"/>
      <c r="D23" s="33"/>
      <c r="E23" s="423"/>
      <c r="F23" s="1019" t="s">
        <v>26</v>
      </c>
      <c r="G23" s="84"/>
      <c r="H23" s="1021" t="s">
        <v>10</v>
      </c>
      <c r="I23" s="1021"/>
      <c r="J23" s="1021"/>
      <c r="K23" s="1022"/>
      <c r="L23" s="106"/>
      <c r="M23" s="2"/>
      <c r="R23" s="5"/>
      <c r="T23" s="2"/>
    </row>
    <row r="24" spans="1:71" ht="32.25" customHeight="1" thickBot="1" x14ac:dyDescent="0.4">
      <c r="A24" s="5"/>
      <c r="B24" s="34" t="s">
        <v>42</v>
      </c>
      <c r="C24" s="411"/>
      <c r="D24" s="34"/>
      <c r="E24" s="411"/>
      <c r="F24" s="1020"/>
      <c r="G24" s="892"/>
      <c r="H24" s="35" t="s">
        <v>43</v>
      </c>
      <c r="I24" s="412"/>
      <c r="J24" s="36" t="s">
        <v>44</v>
      </c>
      <c r="K24" s="35" t="s">
        <v>45</v>
      </c>
      <c r="L24" s="109"/>
      <c r="M24" s="2"/>
      <c r="R24" s="5"/>
      <c r="T24" s="2"/>
    </row>
    <row r="25" spans="1:71" ht="14.5" thickBot="1" x14ac:dyDescent="0.4">
      <c r="B25" s="5" t="s">
        <v>46</v>
      </c>
      <c r="C25" s="402"/>
      <c r="F25" s="37" t="s">
        <v>47</v>
      </c>
      <c r="G25" s="413"/>
      <c r="H25" s="38" t="s">
        <v>48</v>
      </c>
      <c r="I25" s="414"/>
      <c r="J25" s="38" t="s">
        <v>48</v>
      </c>
      <c r="K25" s="39" t="s">
        <v>49</v>
      </c>
      <c r="L25" s="110"/>
      <c r="M25" s="2"/>
      <c r="R25" s="5"/>
      <c r="T25" s="2"/>
    </row>
    <row r="26" spans="1:71" ht="14.5" thickBot="1" x14ac:dyDescent="0.4">
      <c r="F26" s="37" t="s">
        <v>50</v>
      </c>
      <c r="G26" s="413"/>
      <c r="H26" s="38" t="s">
        <v>48</v>
      </c>
      <c r="I26" s="414"/>
      <c r="J26" s="39" t="s">
        <v>49</v>
      </c>
      <c r="K26" s="40" t="s">
        <v>51</v>
      </c>
      <c r="L26" s="111"/>
      <c r="M26" s="2"/>
      <c r="R26" s="5"/>
      <c r="T26" s="2"/>
    </row>
    <row r="27" spans="1:71" ht="14.5" thickBot="1" x14ac:dyDescent="0.4">
      <c r="F27" s="37" t="s">
        <v>52</v>
      </c>
      <c r="G27" s="413"/>
      <c r="H27" s="39" t="s">
        <v>49</v>
      </c>
      <c r="I27" s="415"/>
      <c r="J27" s="40" t="s">
        <v>51</v>
      </c>
      <c r="K27" s="41" t="s">
        <v>53</v>
      </c>
      <c r="L27" s="112"/>
      <c r="M27" s="2"/>
      <c r="R27" s="5"/>
      <c r="T27" s="2"/>
    </row>
    <row r="28" spans="1:71" ht="14.5" thickBot="1" x14ac:dyDescent="0.4">
      <c r="F28" s="37" t="s">
        <v>54</v>
      </c>
      <c r="G28" s="413"/>
      <c r="H28" s="39" t="s">
        <v>49</v>
      </c>
      <c r="I28" s="415"/>
      <c r="J28" s="40" t="s">
        <v>51</v>
      </c>
      <c r="K28" s="41" t="s">
        <v>53</v>
      </c>
      <c r="L28" s="112"/>
      <c r="M28" s="2"/>
      <c r="R28" s="5"/>
      <c r="T28" s="2"/>
    </row>
    <row r="29" spans="1:71" ht="14.5" thickBot="1" x14ac:dyDescent="0.4">
      <c r="F29" s="37" t="s">
        <v>55</v>
      </c>
      <c r="G29" s="413"/>
      <c r="H29" s="39" t="s">
        <v>49</v>
      </c>
      <c r="I29" s="415"/>
      <c r="J29" s="40" t="s">
        <v>51</v>
      </c>
      <c r="K29" s="41" t="s">
        <v>53</v>
      </c>
      <c r="L29" s="112"/>
      <c r="M29" s="2"/>
      <c r="R29" s="5"/>
      <c r="T29" s="2"/>
    </row>
    <row r="30" spans="1:71" x14ac:dyDescent="0.35">
      <c r="F30" s="2"/>
      <c r="G30" s="399"/>
      <c r="H30" s="2"/>
      <c r="I30" s="399"/>
      <c r="J30" s="2"/>
      <c r="K30" s="5"/>
      <c r="L30" s="402"/>
      <c r="N30" s="5"/>
    </row>
    <row r="31" spans="1:71" x14ac:dyDescent="0.35">
      <c r="F31" s="42" t="s">
        <v>56</v>
      </c>
      <c r="G31" s="416"/>
      <c r="H31" s="2"/>
      <c r="I31" s="399"/>
      <c r="J31" s="2"/>
      <c r="K31" s="5"/>
      <c r="L31" s="402"/>
      <c r="N31" s="5"/>
      <c r="O31" s="5"/>
      <c r="P31" s="402"/>
      <c r="Q31" s="5"/>
    </row>
    <row r="32" spans="1:71" x14ac:dyDescent="0.35">
      <c r="F32" s="43" t="s">
        <v>57</v>
      </c>
      <c r="G32" s="417"/>
      <c r="H32" s="2"/>
      <c r="I32" s="399"/>
      <c r="J32" s="2"/>
      <c r="K32" s="5"/>
      <c r="L32" s="402"/>
      <c r="N32" s="5"/>
      <c r="O32" s="5"/>
      <c r="P32" s="402"/>
      <c r="Q32" s="5"/>
    </row>
    <row r="33" spans="6:17" x14ac:dyDescent="0.35">
      <c r="F33" s="44" t="s">
        <v>58</v>
      </c>
      <c r="G33" s="418"/>
      <c r="H33" s="2"/>
      <c r="I33" s="399"/>
      <c r="J33" s="2"/>
      <c r="K33" s="5"/>
      <c r="L33" s="402"/>
      <c r="N33" s="5"/>
      <c r="O33" s="5"/>
      <c r="P33" s="402"/>
      <c r="Q33" s="5"/>
    </row>
    <row r="34" spans="6:17" x14ac:dyDescent="0.35">
      <c r="F34" s="45" t="s">
        <v>59</v>
      </c>
      <c r="G34" s="419"/>
      <c r="H34" s="2"/>
      <c r="I34" s="399"/>
      <c r="J34" s="2"/>
      <c r="K34" s="5"/>
      <c r="L34" s="402"/>
      <c r="N34" s="5"/>
      <c r="O34" s="5"/>
      <c r="P34" s="402"/>
      <c r="Q34" s="5"/>
    </row>
  </sheetData>
  <mergeCells count="36">
    <mergeCell ref="A1:D4"/>
    <mergeCell ref="F1:U4"/>
    <mergeCell ref="V1:W1"/>
    <mergeCell ref="V2:W2"/>
    <mergeCell ref="V3:W3"/>
    <mergeCell ref="V4:W4"/>
    <mergeCell ref="A6:D6"/>
    <mergeCell ref="F6:W6"/>
    <mergeCell ref="A8:D8"/>
    <mergeCell ref="F8:W8"/>
    <mergeCell ref="A10:D10"/>
    <mergeCell ref="F10:W10"/>
    <mergeCell ref="A12:D12"/>
    <mergeCell ref="F12:W12"/>
    <mergeCell ref="AH13:AZ13"/>
    <mergeCell ref="BB13:BU13"/>
    <mergeCell ref="A14:D14"/>
    <mergeCell ref="F14:H14"/>
    <mergeCell ref="K14:K16"/>
    <mergeCell ref="M14:O14"/>
    <mergeCell ref="Q14:S14"/>
    <mergeCell ref="T14:W14"/>
    <mergeCell ref="A15:A16"/>
    <mergeCell ref="B15:B16"/>
    <mergeCell ref="D15:D16"/>
    <mergeCell ref="F15:H15"/>
    <mergeCell ref="M15:O15"/>
    <mergeCell ref="T15:T16"/>
    <mergeCell ref="U15:U16"/>
    <mergeCell ref="V15:V16"/>
    <mergeCell ref="W15:W16"/>
    <mergeCell ref="F23:F24"/>
    <mergeCell ref="H23:K23"/>
    <mergeCell ref="Q15:S15"/>
    <mergeCell ref="L17:M17"/>
    <mergeCell ref="L18:M18"/>
  </mergeCells>
  <conditionalFormatting sqref="J18:J19 O19:P19">
    <cfRule type="containsText" dxfId="175" priority="17" operator="containsText" text="E">
      <formula>NOT(ISERROR(SEARCH("E",J18)))</formula>
    </cfRule>
    <cfRule type="containsText" dxfId="174" priority="18" operator="containsText" text="M">
      <formula>NOT(ISERROR(SEARCH("M",J18)))</formula>
    </cfRule>
    <cfRule type="containsText" dxfId="173" priority="19" operator="containsText" text="A">
      <formula>NOT(ISERROR(SEARCH("A",J18)))</formula>
    </cfRule>
    <cfRule type="containsText" dxfId="172" priority="20" operator="containsText" text="B">
      <formula>NOT(ISERROR(SEARCH("B",J18)))</formula>
    </cfRule>
  </conditionalFormatting>
  <conditionalFormatting sqref="J17">
    <cfRule type="containsText" dxfId="171" priority="13" operator="containsText" text="E">
      <formula>NOT(ISERROR(SEARCH("E",J17)))</formula>
    </cfRule>
    <cfRule type="containsText" dxfId="170" priority="14" operator="containsText" text="M">
      <formula>NOT(ISERROR(SEARCH("M",J17)))</formula>
    </cfRule>
    <cfRule type="containsText" dxfId="169" priority="15" operator="containsText" text="A">
      <formula>NOT(ISERROR(SEARCH("A",J17)))</formula>
    </cfRule>
    <cfRule type="containsText" dxfId="168" priority="16" operator="containsText" text="B">
      <formula>NOT(ISERROR(SEARCH("B",J17)))</formula>
    </cfRule>
  </conditionalFormatting>
  <conditionalFormatting sqref="O17">
    <cfRule type="containsText" dxfId="167" priority="9" operator="containsText" text="E">
      <formula>NOT(ISERROR(SEARCH("E",O17)))</formula>
    </cfRule>
    <cfRule type="containsText" dxfId="166" priority="10" operator="containsText" text="M">
      <formula>NOT(ISERROR(SEARCH("M",O17)))</formula>
    </cfRule>
    <cfRule type="containsText" dxfId="165" priority="11" operator="containsText" text="A">
      <formula>NOT(ISERROR(SEARCH("A",O17)))</formula>
    </cfRule>
    <cfRule type="containsText" dxfId="164" priority="12" operator="containsText" text="B">
      <formula>NOT(ISERROR(SEARCH("B",O17)))</formula>
    </cfRule>
  </conditionalFormatting>
  <conditionalFormatting sqref="O18">
    <cfRule type="containsText" dxfId="163" priority="1" operator="containsText" text="E">
      <formula>NOT(ISERROR(SEARCH("E",O18)))</formula>
    </cfRule>
    <cfRule type="containsText" dxfId="162" priority="2" operator="containsText" text="M">
      <formula>NOT(ISERROR(SEARCH("M",O18)))</formula>
    </cfRule>
    <cfRule type="containsText" dxfId="161" priority="3" operator="containsText" text="A">
      <formula>NOT(ISERROR(SEARCH("A",O18)))</formula>
    </cfRule>
    <cfRule type="containsText" dxfId="160" priority="4" operator="containsText" text="B">
      <formula>NOT(ISERROR(SEARCH("B",O18)))</formula>
    </cfRule>
  </conditionalFormatting>
  <dataValidations count="3">
    <dataValidation type="list" allowBlank="1" showInputMessage="1" showErrorMessage="1" sqref="M20:P20">
      <formula1>#REF!</formula1>
    </dataValidation>
    <dataValidation type="list" allowBlank="1" showInputMessage="1" showErrorMessage="1" sqref="Q20:R20">
      <formula1>$J$31:$J$34</formula1>
    </dataValidation>
    <dataValidation type="list" allowBlank="1" showInputMessage="1" showErrorMessage="1" promptTitle="AFECTA A:" prompt="Seleccione según a quien afecte el control" sqref="L17:M18">
      <formula1>$XFD$2:$XFD$3</formula1>
    </dataValidation>
  </dataValidations>
  <pageMargins left="0.7" right="0.7" top="0.75" bottom="0.75" header="0.3" footer="0.3"/>
  <pageSetup scale="1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4"/>
  <sheetViews>
    <sheetView showGridLines="0" view="pageBreakPreview" topLeftCell="P18" zoomScale="110" zoomScaleNormal="70" zoomScaleSheetLayoutView="110" workbookViewId="0">
      <selection activeCell="S18" sqref="S18"/>
    </sheetView>
  </sheetViews>
  <sheetFormatPr baseColWidth="10" defaultColWidth="11.453125" defaultRowHeight="14" x14ac:dyDescent="0.35"/>
  <cols>
    <col min="1" max="1" width="56.54296875" style="399" customWidth="1"/>
    <col min="2" max="5" width="40.453125" style="399" customWidth="1"/>
    <col min="6" max="7" width="27" style="402" customWidth="1"/>
    <col min="8" max="9" width="19" style="402" customWidth="1"/>
    <col min="10" max="10" width="26.7265625" style="402" customWidth="1"/>
    <col min="11" max="11" width="29.7265625" style="399" customWidth="1"/>
    <col min="12" max="12" width="17.7265625" style="402" customWidth="1"/>
    <col min="13" max="13" width="18.54296875" style="399" customWidth="1"/>
    <col min="14" max="15" width="21.7265625" style="399" customWidth="1"/>
    <col min="16" max="17" width="19.81640625" style="399" customWidth="1"/>
    <col min="18" max="18" width="17" style="399" customWidth="1"/>
    <col min="19" max="19" width="20.1796875" style="402" customWidth="1"/>
    <col min="20" max="20" width="58" style="399" customWidth="1"/>
    <col min="21" max="21" width="30.453125" style="399" customWidth="1"/>
    <col min="22" max="22" width="43.54296875" style="399" customWidth="1"/>
    <col min="23" max="23" width="30.453125" style="399" customWidth="1"/>
    <col min="24" max="24" width="36" style="399" hidden="1" customWidth="1"/>
    <col min="25" max="25" width="0" style="399" hidden="1" customWidth="1"/>
    <col min="26" max="72" width="11.453125" style="399" hidden="1" customWidth="1"/>
    <col min="73" max="73" width="11.453125" style="399" customWidth="1"/>
    <col min="74" max="16384" width="11.453125" style="399"/>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60" t="s">
        <v>372</v>
      </c>
      <c r="V2" s="1061"/>
      <c r="W2" s="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60" t="s">
        <v>450</v>
      </c>
      <c r="V3" s="1061"/>
      <c r="W3" s="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400"/>
      <c r="C5" s="400"/>
      <c r="D5" s="400"/>
      <c r="E5" s="400"/>
      <c r="F5" s="401"/>
      <c r="G5" s="401"/>
      <c r="H5" s="401"/>
      <c r="I5" s="401"/>
      <c r="J5" s="401"/>
      <c r="K5" s="401"/>
      <c r="L5" s="401"/>
      <c r="M5" s="401"/>
      <c r="N5" s="401"/>
      <c r="O5" s="401"/>
      <c r="P5" s="401"/>
      <c r="Q5" s="401"/>
      <c r="W5" s="6"/>
      <c r="X5" s="6"/>
    </row>
    <row r="6" spans="1:72" ht="15.5" x14ac:dyDescent="0.35">
      <c r="A6" s="1030" t="s">
        <v>3</v>
      </c>
      <c r="B6" s="1030"/>
      <c r="C6" s="1030"/>
      <c r="D6" s="1030"/>
      <c r="E6" s="82"/>
      <c r="F6" s="1069" t="s">
        <v>451</v>
      </c>
      <c r="G6" s="1070"/>
      <c r="H6" s="1070"/>
      <c r="I6" s="1070"/>
      <c r="J6" s="1070"/>
      <c r="K6" s="1070"/>
      <c r="L6" s="1070"/>
      <c r="M6" s="1070"/>
      <c r="N6" s="1070"/>
      <c r="O6" s="1070"/>
      <c r="P6" s="1070"/>
      <c r="Q6" s="1070"/>
      <c r="R6" s="1070"/>
      <c r="S6" s="1070"/>
      <c r="T6" s="1070"/>
      <c r="U6" s="1070"/>
      <c r="V6" s="1071"/>
      <c r="W6" s="6"/>
      <c r="X6" s="6"/>
    </row>
    <row r="7" spans="1:72" ht="6.75" customHeight="1" x14ac:dyDescent="0.35">
      <c r="B7" s="400"/>
      <c r="C7" s="400"/>
      <c r="D7" s="400"/>
      <c r="E7" s="400"/>
      <c r="F7" s="405"/>
      <c r="G7" s="405"/>
      <c r="H7" s="405"/>
      <c r="I7" s="405"/>
      <c r="J7" s="405"/>
      <c r="K7" s="405"/>
      <c r="L7" s="405"/>
      <c r="M7" s="405"/>
      <c r="N7" s="405"/>
      <c r="O7" s="405"/>
      <c r="P7" s="405"/>
      <c r="Q7" s="405"/>
      <c r="R7" s="8"/>
      <c r="S7" s="8"/>
      <c r="T7" s="8"/>
      <c r="U7" s="8"/>
      <c r="V7" s="8"/>
      <c r="W7" s="6"/>
      <c r="X7" s="6"/>
    </row>
    <row r="8" spans="1:72" ht="39.75" customHeight="1" x14ac:dyDescent="0.35">
      <c r="A8" s="1030" t="s">
        <v>4</v>
      </c>
      <c r="B8" s="1030"/>
      <c r="C8" s="1030"/>
      <c r="D8" s="1030"/>
      <c r="E8" s="82"/>
      <c r="F8" s="1047" t="str">
        <f>[8]IdentRiesgo!B3</f>
        <v>Satisfacer las necesidades y expectativas de los usuarios y dar respuesta pertinente, confiable y oportuna de los servicios relacionados con las actividades misionales del Instituto.</v>
      </c>
      <c r="G8" s="1048"/>
      <c r="H8" s="1048"/>
      <c r="I8" s="1048"/>
      <c r="J8" s="1048"/>
      <c r="K8" s="1048"/>
      <c r="L8" s="1048"/>
      <c r="M8" s="1048"/>
      <c r="N8" s="1048"/>
      <c r="O8" s="1048"/>
      <c r="P8" s="1048"/>
      <c r="Q8" s="1048"/>
      <c r="R8" s="1048"/>
      <c r="S8" s="1048"/>
      <c r="T8" s="1048"/>
      <c r="U8" s="1048"/>
      <c r="V8" s="1049"/>
      <c r="W8" s="9"/>
      <c r="X8" s="9"/>
    </row>
    <row r="9" spans="1:72" ht="6.75" customHeight="1" x14ac:dyDescent="0.35">
      <c r="B9" s="403"/>
      <c r="C9" s="403"/>
      <c r="D9" s="403"/>
      <c r="E9" s="403"/>
      <c r="F9" s="406"/>
      <c r="G9" s="406"/>
      <c r="H9" s="406"/>
      <c r="I9" s="406"/>
      <c r="J9" s="406"/>
      <c r="K9" s="406"/>
      <c r="L9" s="406"/>
      <c r="M9" s="406"/>
      <c r="N9" s="406"/>
      <c r="O9" s="406"/>
      <c r="P9" s="406"/>
      <c r="Q9" s="406"/>
      <c r="R9" s="8"/>
      <c r="S9" s="8"/>
      <c r="T9" s="8"/>
      <c r="U9" s="8"/>
      <c r="V9" s="8"/>
      <c r="W9" s="6"/>
      <c r="X9" s="6"/>
    </row>
    <row r="10" spans="1:72" ht="15.5" x14ac:dyDescent="0.35">
      <c r="A10" s="1030" t="s">
        <v>5</v>
      </c>
      <c r="B10" s="1030"/>
      <c r="C10" s="1030"/>
      <c r="D10" s="1030"/>
      <c r="E10" s="82"/>
      <c r="F10" s="1072" t="s">
        <v>452</v>
      </c>
      <c r="G10" s="1073"/>
      <c r="H10" s="1073"/>
      <c r="I10" s="1073"/>
      <c r="J10" s="1073"/>
      <c r="K10" s="1073"/>
      <c r="L10" s="1073"/>
      <c r="M10" s="1073"/>
      <c r="N10" s="1073"/>
      <c r="O10" s="1073"/>
      <c r="P10" s="1073"/>
      <c r="Q10" s="1073"/>
      <c r="R10" s="1073"/>
      <c r="S10" s="1073"/>
      <c r="T10" s="1073"/>
      <c r="U10" s="1073"/>
      <c r="V10" s="1074"/>
      <c r="W10" s="12"/>
      <c r="X10" s="12"/>
    </row>
    <row r="11" spans="1:72" ht="5.25" customHeight="1" x14ac:dyDescent="0.35">
      <c r="B11" s="400"/>
      <c r="C11" s="400"/>
      <c r="D11" s="400"/>
      <c r="E11" s="400"/>
      <c r="F11" s="425"/>
      <c r="G11" s="425"/>
      <c r="H11" s="425"/>
      <c r="I11" s="425"/>
      <c r="J11" s="425"/>
      <c r="K11" s="425"/>
      <c r="L11" s="425"/>
      <c r="M11" s="425"/>
      <c r="N11" s="425"/>
      <c r="O11" s="425"/>
      <c r="P11" s="425"/>
      <c r="Q11" s="425"/>
      <c r="R11" s="8"/>
      <c r="S11" s="8"/>
      <c r="T11" s="8"/>
      <c r="U11" s="8"/>
      <c r="V11" s="8"/>
      <c r="W11" s="6"/>
      <c r="X11" s="6"/>
    </row>
    <row r="12" spans="1:72" ht="15.5" x14ac:dyDescent="0.35">
      <c r="A12" s="1030" t="s">
        <v>6</v>
      </c>
      <c r="B12" s="1030"/>
      <c r="C12" s="1030"/>
      <c r="D12" s="1030"/>
      <c r="E12" s="82"/>
      <c r="F12" s="1062">
        <v>42949.49065</v>
      </c>
      <c r="G12" s="1063"/>
      <c r="H12" s="1063"/>
      <c r="I12" s="1063"/>
      <c r="J12" s="1063"/>
      <c r="K12" s="1063"/>
      <c r="L12" s="1063"/>
      <c r="M12" s="1063"/>
      <c r="N12" s="1063"/>
      <c r="O12" s="1063"/>
      <c r="P12" s="1063"/>
      <c r="Q12" s="1063"/>
      <c r="R12" s="1063"/>
      <c r="S12" s="1063"/>
      <c r="T12" s="1063"/>
      <c r="U12" s="1063"/>
      <c r="V12" s="1064"/>
      <c r="W12" s="12"/>
      <c r="X12" s="12"/>
      <c r="AA12" s="399" t="s">
        <v>7</v>
      </c>
    </row>
    <row r="13" spans="1:72" ht="14.5" thickBot="1" x14ac:dyDescent="0.4">
      <c r="B13" s="400"/>
      <c r="C13" s="400"/>
      <c r="D13" s="400"/>
      <c r="E13" s="400"/>
      <c r="F13" s="407"/>
      <c r="G13" s="407"/>
      <c r="H13" s="404"/>
      <c r="I13" s="404"/>
      <c r="J13" s="404"/>
      <c r="K13" s="405"/>
      <c r="L13" s="404"/>
      <c r="M13" s="405"/>
      <c r="N13" s="405"/>
      <c r="O13" s="405"/>
      <c r="P13" s="405"/>
      <c r="Q13" s="405"/>
      <c r="R13" s="405"/>
      <c r="S13" s="404"/>
      <c r="T13" s="405"/>
      <c r="W13" s="6"/>
      <c r="X13" s="6"/>
      <c r="AA13" s="399"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6"/>
      <c r="E14" s="83"/>
      <c r="F14" s="1038" t="s">
        <v>12</v>
      </c>
      <c r="G14" s="1038"/>
      <c r="H14" s="1038"/>
      <c r="I14" s="420"/>
      <c r="J14" s="420"/>
      <c r="K14" s="1039" t="s">
        <v>13</v>
      </c>
      <c r="L14" s="1035" t="s">
        <v>14</v>
      </c>
      <c r="M14" s="1036"/>
      <c r="N14" s="1037"/>
      <c r="O14" s="697"/>
      <c r="P14" s="1042" t="s">
        <v>15</v>
      </c>
      <c r="Q14" s="1042"/>
      <c r="R14" s="1042"/>
      <c r="S14" s="1042" t="s">
        <v>16</v>
      </c>
      <c r="T14" s="1042"/>
      <c r="U14" s="1042"/>
      <c r="V14" s="1042"/>
    </row>
    <row r="15" spans="1:72" s="17" customFormat="1" ht="14.25" customHeight="1" x14ac:dyDescent="0.35">
      <c r="A15" s="1040" t="s">
        <v>17</v>
      </c>
      <c r="B15" s="1040" t="s">
        <v>18</v>
      </c>
      <c r="C15" s="698"/>
      <c r="D15" s="698"/>
      <c r="E15" s="698"/>
      <c r="F15" s="1018" t="s">
        <v>20</v>
      </c>
      <c r="G15" s="1018"/>
      <c r="H15" s="1018"/>
      <c r="I15" s="700"/>
      <c r="J15" s="700"/>
      <c r="K15" s="1040"/>
      <c r="L15" s="1023" t="s">
        <v>21</v>
      </c>
      <c r="M15" s="1024"/>
      <c r="N15" s="1025"/>
      <c r="O15" s="701"/>
      <c r="P15" s="1023" t="s">
        <v>22</v>
      </c>
      <c r="Q15" s="1024"/>
      <c r="R15" s="1025"/>
      <c r="S15" s="1018" t="s">
        <v>23</v>
      </c>
      <c r="T15" s="1018" t="s">
        <v>24</v>
      </c>
      <c r="U15" s="1023" t="s">
        <v>5</v>
      </c>
      <c r="V15" s="1018" t="s">
        <v>25</v>
      </c>
    </row>
    <row r="16" spans="1:72" s="17" customFormat="1" ht="63" customHeight="1" x14ac:dyDescent="0.35">
      <c r="A16" s="1043"/>
      <c r="B16" s="1043"/>
      <c r="C16" s="699" t="s">
        <v>96</v>
      </c>
      <c r="D16" s="699" t="s">
        <v>19</v>
      </c>
      <c r="E16" s="699" t="s">
        <v>97</v>
      </c>
      <c r="F16" s="700" t="s">
        <v>26</v>
      </c>
      <c r="G16" s="700" t="s">
        <v>96</v>
      </c>
      <c r="H16" s="700" t="s">
        <v>10</v>
      </c>
      <c r="I16" s="700" t="s">
        <v>96</v>
      </c>
      <c r="J16" s="700" t="s">
        <v>27</v>
      </c>
      <c r="K16" s="1041"/>
      <c r="L16" s="19" t="s">
        <v>26</v>
      </c>
      <c r="M16" s="19" t="s">
        <v>10</v>
      </c>
      <c r="N16" s="699" t="s">
        <v>27</v>
      </c>
      <c r="O16" s="699" t="s">
        <v>100</v>
      </c>
      <c r="P16" s="700" t="s">
        <v>28</v>
      </c>
      <c r="Q16" s="700" t="s">
        <v>24</v>
      </c>
      <c r="R16" s="700" t="s">
        <v>29</v>
      </c>
      <c r="S16" s="1018"/>
      <c r="T16" s="1018"/>
      <c r="U16" s="1023"/>
      <c r="V16" s="1018"/>
    </row>
    <row r="17" spans="1:70" ht="257.25" customHeight="1" x14ac:dyDescent="0.35">
      <c r="A17" s="751" t="s">
        <v>454</v>
      </c>
      <c r="B17" s="752" t="s">
        <v>455</v>
      </c>
      <c r="C17" s="753" t="s">
        <v>453</v>
      </c>
      <c r="D17" s="754" t="s">
        <v>456</v>
      </c>
      <c r="E17" s="755" t="s">
        <v>106</v>
      </c>
      <c r="F17" s="756">
        <v>4</v>
      </c>
      <c r="G17" s="757" t="s">
        <v>114</v>
      </c>
      <c r="H17" s="758">
        <v>2</v>
      </c>
      <c r="I17" s="759" t="s">
        <v>169</v>
      </c>
      <c r="J17" s="760" t="s">
        <v>51</v>
      </c>
      <c r="K17" s="761" t="s">
        <v>457</v>
      </c>
      <c r="L17" s="1075" t="s">
        <v>26</v>
      </c>
      <c r="M17" s="1076"/>
      <c r="N17" s="762" t="s">
        <v>49</v>
      </c>
      <c r="O17" s="763" t="s">
        <v>211</v>
      </c>
      <c r="P17" s="764" t="s">
        <v>83</v>
      </c>
      <c r="Q17" s="765" t="s">
        <v>458</v>
      </c>
      <c r="R17" s="766" t="s">
        <v>459</v>
      </c>
      <c r="S17" s="767">
        <v>42947</v>
      </c>
      <c r="T17" s="768" t="s">
        <v>460</v>
      </c>
      <c r="U17" s="769" t="s">
        <v>461</v>
      </c>
      <c r="V17" s="770" t="s">
        <v>462</v>
      </c>
      <c r="X17" s="409" t="str">
        <f>IF(AND(F17=1,H17=5),$H$25,IF(AND(F17=1,H17=10),$J$25,IF(AND(F17=1,H17=20),$K$25," ")))</f>
        <v xml:space="preserve"> </v>
      </c>
      <c r="Y17" s="409" t="str">
        <f>IF(AND(F17=2,H17=5),$H$26,IF(AND(F17=2,H17=10),$J$26,IF(AND(F17=2,H17=20),$K$26," ")))</f>
        <v xml:space="preserve"> </v>
      </c>
      <c r="Z17" s="409" t="str">
        <f>IF(AND(F17=3,H17=5),$H$27,IF(AND(F17=3,H17=10),$J$27,IF(AND(F17=3,H17=20),$K$27," ")))</f>
        <v xml:space="preserve"> </v>
      </c>
      <c r="AA17" s="409" t="str">
        <f>IF(AND(F17=4,H17=5),$H$28,IF(AND(F17=4,H17=10),$J$28,IF(AND(F17=4,H17=20),$K$28," ")))</f>
        <v xml:space="preserve"> </v>
      </c>
      <c r="AB17" s="409" t="str">
        <f>IF(AND(F17=5,H17=5),$H$29,IF(AND(F17=5,H17=10),$J$29,IF(AND(F17=5,H17=20),$K$29," ")))</f>
        <v xml:space="preserve"> </v>
      </c>
      <c r="AD17" s="29" t="s">
        <v>31</v>
      </c>
      <c r="AE17" s="409" t="str">
        <f>IF(AND(L17&gt;0,[8]EvaluaciónRiesgoCorrup!$F$11&gt;75,F17=1,H17=5),$H$25,IF(AND(L17&gt;0,[8]EvaluaciónRiesgoCorrup!$F$11&gt;75,F17=1,H17=10),$J$25,IF(AND(L17&gt;0,[8]EvaluaciónRiesgoCorrup!$F$11&gt;75,F17=1,H17=20),$K$25," ")))</f>
        <v xml:space="preserve"> </v>
      </c>
      <c r="AF17" s="409" t="str">
        <f>IF(AND(L17&gt;0,[8]EvaluaciónRiesgoCorrup!$F$11&gt;75,F17=2,H17=5),$H$25,IF(AND(L17&gt;0,[8]EvaluaciónRiesgoCorrup!$F$11&gt;75,F17=2,H17=10),$J$25,IF(AND(L17&gt;0,[8]EvaluaciónRiesgoCorrup!$F$11&gt;75,F17=2,H17=20),$K$25," ")))</f>
        <v xml:space="preserve"> </v>
      </c>
      <c r="AG17" s="409" t="str">
        <f>IF(AND(L17&gt;0,[8]EvaluaciónRiesgoCorrup!$F$11&gt;75,F17=3,H17=5),$H$25,IF(AND(L17&gt;0,[8]EvaluaciónRiesgoCorrup!$F$11&gt;75,F17=3,H17=10),$J$25,IF(AND(L17&gt;0,[8]EvaluaciónRiesgoCorrup!$F$11&gt;75,F17=3,H17=20),$K$25," ")))</f>
        <v xml:space="preserve"> </v>
      </c>
      <c r="AH17" s="409" t="str">
        <f>IF(AND(L17&gt;0,[8]EvaluaciónRiesgoCorrup!$F$11&gt;75,F17=4,H17=5),$H$26,IF(AND(L17&gt;0,[8]EvaluaciónRiesgoCorrup!$F$11&gt;75,F17=4,H17=10),$J$26,IF(AND(L17&gt;0,[8]EvaluaciónRiesgoCorrup!$F$11&gt;75,F17=4,H17=20),$K$26," ")))</f>
        <v xml:space="preserve"> </v>
      </c>
      <c r="AI17" s="409" t="str">
        <f>IF(AND(L17&gt;0,[8]EvaluaciónRiesgoCorrup!$F$11&gt;75,F17=5,H17=5),$H$27,IF(AND(L17&gt;0,[8]EvaluaciónRiesgoCorrup!$F$11&gt;75,F17=5,H17=10),$J$27,IF(AND(L17&gt;0,[8]EvaluaciónRiesgoCorrup!$F$11&gt;75,F17=5,H17=20),$K$27," ")))</f>
        <v xml:space="preserve"> </v>
      </c>
      <c r="AJ17" s="29" t="s">
        <v>32</v>
      </c>
      <c r="AK17" s="409" t="str">
        <f>IF(AND(L17&gt;0,[8]EvaluaciónRiesgoCorrup!$F$11&gt;50,[8]EvaluaciónRiesgoCorrup!$F$11&lt;76,F17=1,H17=5),$H$25,IF(AND(L17&gt;0,[8]EvaluaciónRiesgoCorrup!$F$11&gt;50,[8]EvaluaciónRiesgoCorrup!$F$11&lt;76,F17=1,H17=10),$J$25,IF(AND(L17&gt;0,[8]EvaluaciónRiesgoCorrup!$F$11&gt;50,[8]EvaluaciónRiesgoCorrup!$F$11&lt;76,F17=1,H17=20),$K$25," ")))</f>
        <v xml:space="preserve"> </v>
      </c>
      <c r="AL17" s="409" t="str">
        <f>IF(AND(L17&gt;0,[8]EvaluaciónRiesgoCorrup!$F$11&gt;50,[8]EvaluaciónRiesgoCorrup!$F$11&lt;76,F17=2,H17=5),$H$25,IF(AND(L17&gt;0,[8]EvaluaciónRiesgoCorrup!$F$11&gt;50,[8]EvaluaciónRiesgoCorrup!$F$11&lt;76,F17=2,H17=10),$J$25,IF(AND(L17&gt;0,[8]EvaluaciónRiesgoCorrup!$F$11&gt;50,[8]EvaluaciónRiesgoCorrup!$F$11&lt;76,F17=2,H17=20),$K$25," ")))</f>
        <v xml:space="preserve"> </v>
      </c>
      <c r="AM17" s="409" t="str">
        <f>IF(AND(L17&gt;0,[8]EvaluaciónRiesgoCorrup!$F$11&gt;50,[8]EvaluaciónRiesgoCorrup!$F$11&lt;76,F17=3,H17=5),$H$26,IF(AND(L17&gt;0,[8]EvaluaciónRiesgoCorrup!$F$11&gt;50,[8]EvaluaciónRiesgoCorrup!$F$11&lt;76,F17=3,H17=10),$J$26,IF(AND(L17&gt;0,[8]EvaluaciónRiesgoCorrup!$F$11&gt;50,[8]EvaluaciónRiesgoCorrup!$F$11&lt;76,F17=3,H17=20),$K$26," ")))</f>
        <v xml:space="preserve"> </v>
      </c>
      <c r="AN17" s="409" t="str">
        <f>IF(AND(L17&gt;0,[8]EvaluaciónRiesgoCorrup!$F$11&gt;50,[8]EvaluaciónRiesgoCorrup!$F$11&lt;76,F17=4,H17=5),$H$27,IF(AND(L17&gt;0,[8]EvaluaciónRiesgoCorrup!$F$11&gt;50,[8]EvaluaciónRiesgoCorrup!$F$11&lt;76,F17=4,H17=10),$J$27,IF(AND(L17&gt;0,[8]EvaluaciónRiesgoCorrup!$F$11&gt;50,[8]EvaluaciónRiesgoCorrup!$F$11&lt;76,F17=4,H17=20),$K$27," ")))</f>
        <v xml:space="preserve"> </v>
      </c>
      <c r="AO17" s="409" t="str">
        <f>IF(AND(L17&gt;0,[8]EvaluaciónRiesgoCorrup!$F$11&gt;50,[8]EvaluaciónRiesgoCorrup!$F$11&lt;76,F17=5,H17=5),$H$28,IF(AND(L17&gt;0,[8]EvaluaciónRiesgoCorrup!$F$11&gt;50,[8]EvaluaciónRiesgoCorrup!$F$11&lt;76,F17=5,H17=10),$J$28,IF(AND(L17&gt;0,[8]EvaluaciónRiesgoCorrup!$F$11&gt;50,[8]EvaluaciónRiesgoCorrup!$F$11&lt;76,F17=5,H17=20),$K$28," ")))</f>
        <v xml:space="preserve"> </v>
      </c>
      <c r="AQ17" s="29" t="s">
        <v>33</v>
      </c>
      <c r="AR17" s="409" t="str">
        <f>IF(AND(L17&gt;0,[8]EvaluaciónRiesgoCorrup!$F$11&lt;51,F17=1,H17=5),$H$25,IF(AND(L17&gt;0,[8]EvaluaciónRiesgoCorrup!$F$11&lt;51,F17=1,H17=10),$J$25,IF(AND(L17&gt;0,[8]EvaluaciónRiesgoCorrup!$F$11&lt;51,F17=1,H17=20),K$25," ")))</f>
        <v xml:space="preserve"> </v>
      </c>
      <c r="AS17" s="409" t="str">
        <f>IF(AND(L17&gt;0,[8]EvaluaciónRiesgoCorrup!$F$11&lt;51,F17=2,H17=5),$H$26,IF(AND(L17&gt;0,[8]EvaluaciónRiesgoCorrup!$F$11&lt;51,F17=2,H17=10),$J$26,IF(AND(L17&gt;0,[8]EvaluaciónRiesgoCorrup!$F$11&lt;51,F17=2,H17=20),K$26," ")))</f>
        <v xml:space="preserve"> </v>
      </c>
      <c r="AT17" s="409" t="str">
        <f>IF(AND(L17&gt;0,[8]EvaluaciónRiesgoCorrup!$F$11&lt;51,F17=3,H17=5),$H$27,IF(AND(L17&gt;0,[8]EvaluaciónRiesgoCorrup!$F$11&lt;51,F17=3,H17=10),$J$27,IF(AND(L17&gt;0,[8]EvaluaciónRiesgoCorrup!$F$11&lt;51,F17=3,H17=20),K$27," ")))</f>
        <v xml:space="preserve"> </v>
      </c>
      <c r="AU17" s="409" t="str">
        <f>IF(AND(L17&gt;0,[8]EvaluaciónRiesgoCorrup!$F$11&lt;51,F17=4,H17=5),$H$28,IF(AND(L17&gt;0,[8]EvaluaciónRiesgoCorrup!$F$11&lt;51,F17=4,H17=10),$J$28,IF(AND(L17&gt;0,[8]EvaluaciónRiesgoCorrup!$F$11&lt;51,F17=4,H17=20),K$28," ")))</f>
        <v xml:space="preserve"> </v>
      </c>
      <c r="AV17" s="409" t="str">
        <f>IF(AND(L17&gt;0,[8]EvaluaciónRiesgoCorrup!$F$11&lt;51,F17=5,H17=5),$H$29,IF(AND(L17&gt;0,[8]EvaluaciónRiesgoCorrup!$F$11&lt;51,F17=5,H17=10),$J$29,IF(AND(L17&gt;0,[8]EvaluaciónRiesgoCorrup!$F$11&lt;51,F17=5,H17=20),K$29," ")))</f>
        <v xml:space="preserve"> </v>
      </c>
      <c r="AY17" s="29" t="s">
        <v>31</v>
      </c>
      <c r="AZ17" s="409" t="str">
        <f>IF(AND(M17&gt;0,[8]EvaluaciónRiesgoCorrup!$F$11&gt;75,F17=1,H17=5),$H$25,IF(AND(M17&gt;0,[8]EvaluaciónRiesgoCorrup!$F$11&gt;75,F17=1,H17=10),$H$25,IF(AND(M17&gt;0,[8]EvaluaciónRiesgoCorrup!$F$11&gt;75,F17=1,H17=20),$H$25," ")))</f>
        <v xml:space="preserve"> </v>
      </c>
      <c r="BA17" s="409" t="str">
        <f>IF(AND(M17&gt;0,[8]EvaluaciónRiesgoCorrup!$F$11&gt;75,F17=2,H17=5),$H$26,IF(AND(M17&gt;0,[8]EvaluaciónRiesgoCorrup!$F$11&gt;75,F17=2,H17=10),$H$26,IF(AND(M17&gt;0,[8]EvaluaciónRiesgoCorrup!$F$11&gt;75,F17=2,H17=20),$H$26," ")))</f>
        <v xml:space="preserve"> </v>
      </c>
      <c r="BB17" s="409" t="str">
        <f>IF(AND(M17&gt;0,[8]EvaluaciónRiesgoCorrup!$F$11&gt;75,F17=3,H17=5),$H$27,IF(AND(M17&gt;0,[8]EvaluaciónRiesgoCorrup!$F$11&gt;75,F17=3,H17=10),$H$27,IF(AND(M17&gt;0,[8]EvaluaciónRiesgoCorrup!$F$11&gt;75,F17=3,H17=20),$H$27," ")))</f>
        <v xml:space="preserve"> </v>
      </c>
      <c r="BC17" s="409" t="str">
        <f>IF(AND(M17&gt;0,[8]EvaluaciónRiesgoCorrup!$F$11&gt;75,F17=4,H17=5),$H$28,IF(AND(M17&gt;0,[8]EvaluaciónRiesgoCorrup!$F$11&gt;75,F17=4,H17=10),$H$28,IF(AND(M17&gt;0,[8]EvaluaciónRiesgoCorrup!$F$11&gt;75,F17=4,H17=20),$H$28," ")))</f>
        <v xml:space="preserve"> </v>
      </c>
      <c r="BD17" s="409" t="str">
        <f>IF(AND(M17&gt;0,[8]EvaluaciónRiesgoCorrup!$F$11&gt;75,F17=5,H17=5),$H$29,IF(AND(M17&gt;0,[8]EvaluaciónRiesgoCorrup!$F$11&gt;75,F17=5,H17=10),$H$29,IF(AND(M17&gt;0,[8]EvaluaciónRiesgoCorrup!$F$11&gt;75,F17=5,H17=20),$H$29," ")))</f>
        <v xml:space="preserve"> </v>
      </c>
      <c r="BF17" s="29" t="s">
        <v>32</v>
      </c>
      <c r="BG17" s="409" t="str">
        <f>IF(AND(M17&gt;0,[8]EvaluaciónRiesgoCorrup!$F$11&gt;50,[8]EvaluaciónRiesgoCorrup!$F$11&lt;76,F17=1,H17=5),$H$25,IF(AND(M17&gt;0,[8]EvaluaciónRiesgoCorrup!$F$11&gt;50,[8]EvaluaciónRiesgoCorrup!$F$11&lt;76,F17=1,H17=10),$H$25,IF(AND(M17&gt;0,[8]EvaluaciónRiesgoCorrup!$F$11&gt;50,[8]EvaluaciónRiesgoCorrup!$F$11&lt;76,F17=1,H17=20),$J$25," ")))</f>
        <v xml:space="preserve"> </v>
      </c>
      <c r="BH17" s="409" t="str">
        <f>IF(AND(M17&gt;0,[8]EvaluaciónRiesgoCorrup!$F$11&gt;50,[8]EvaluaciónRiesgoCorrup!$F$11&lt;76,F17=2,H17=5),$H$26,IF(AND(M17&gt;0,[8]EvaluaciónRiesgoCorrup!$F$11&gt;50,[8]EvaluaciónRiesgoCorrup!$F$11&lt;76,F17=2,H17=10),$H$26,IF(AND(M17&gt;0,[8]EvaluaciónRiesgoCorrup!$F$11&gt;50,[8]EvaluaciónRiesgoCorrup!$F$11&lt;76,F17=2,H17=20),$J$26," ")))</f>
        <v xml:space="preserve"> </v>
      </c>
      <c r="BI17" s="409" t="str">
        <f>IF(AND(M17&gt;0,[8]EvaluaciónRiesgoCorrup!$F$11&gt;50,[8]EvaluaciónRiesgoCorrup!$F$11&lt;76,F17=3,H17=5),$H$27,IF(AND(M17&gt;0,[8]EvaluaciónRiesgoCorrup!$F$11&gt;50,[8]EvaluaciónRiesgoCorrup!$F$11&lt;76,F17=3,H17=10),$H$27,IF(AND(M17&gt;0,[8]EvaluaciónRiesgoCorrup!$F$11&gt;50,[8]EvaluaciónRiesgoCorrup!$F$11&lt;76,F17=3,H17=20),$J$27," ")))</f>
        <v xml:space="preserve"> </v>
      </c>
      <c r="BJ17" s="409" t="str">
        <f>IF(AND(M17&gt;0,[8]EvaluaciónRiesgoCorrup!$F$11&gt;50,[8]EvaluaciónRiesgoCorrup!$F$11&lt;76,F17=4,H17=5),$H$28,IF(AND(M17&gt;0,[8]EvaluaciónRiesgoCorrup!$F$11&gt;50,[8]EvaluaciónRiesgoCorrup!$F$11&lt;76,F17=4,H17=10),$H$28,IF(AND(M17&gt;0,[8]EvaluaciónRiesgoCorrup!$F$11&gt;50,[8]EvaluaciónRiesgoCorrup!$F$11&lt;76,F17=4,H17=20),$J$28," ")))</f>
        <v xml:space="preserve"> </v>
      </c>
      <c r="BK17" s="409" t="str">
        <f>IF(AND(M17&gt;0,[8]EvaluaciónRiesgoCorrup!$F$11&gt;50,[8]EvaluaciónRiesgoCorrup!$F$11&lt;76,F17=5,H17=5),$H$29,IF(AND(M17&gt;0,[8]EvaluaciónRiesgoCorrup!$F$11&gt;50,[8]EvaluaciónRiesgoCorrup!$F$11&lt;76,F17=5,H17=10),$H$29,IF(AND(M17&gt;0,[8]EvaluaciónRiesgoCorrup!$F$11&gt;50,[8]EvaluaciónRiesgoCorrup!$F$11&lt;76,F17=5,H17=20),$J$29," ")))</f>
        <v xml:space="preserve"> </v>
      </c>
      <c r="BM17" s="29" t="s">
        <v>33</v>
      </c>
      <c r="BN17" s="409" t="str">
        <f>IF(AND(M17&gt;0,[8]EvaluaciónRiesgoCorrup!$F$11&lt;51,F17=1,H17=5),$H$25,IF(AND(M17&gt;0,[8]EvaluaciónRiesgoCorrup!$F$11&lt;51,F17=1,H17=10),$J$25,IF(AND(M17&gt;0,[8]EvaluaciónRiesgoCorrup!$F$11&lt;51,F17=1,H17=20),$K$25," ")))</f>
        <v xml:space="preserve"> </v>
      </c>
      <c r="BO17" s="409" t="str">
        <f>IF(AND(M17&gt;0,[8]EvaluaciónRiesgoCorrup!$F$11&lt;51,F17=2,H17=5),$H$26,IF(AND(M17&gt;0,[8]EvaluaciónRiesgoCorrup!$F$11&lt;51,F17=2,H17=10),$J$26,IF(AND(M17&gt;0,[8]EvaluaciónRiesgoCorrup!$F$11&lt;51,F17=2,H17=20),$K$26," ")))</f>
        <v xml:space="preserve"> </v>
      </c>
      <c r="BP17" s="409" t="str">
        <f>IF(AND(M17&gt;0,[8]EvaluaciónRiesgoCorrup!$F$11&lt;51,F17=3,H17=5),$H$27,IF(AND(M17&gt;0,[8]EvaluaciónRiesgoCorrup!$F$11&lt;51,F17=3,H17=10),$J$27,IF(AND(M17&gt;0,[8]EvaluaciónRiesgoCorrup!$F$11&lt;51,F17=3,H17=20),$K$27," ")))</f>
        <v xml:space="preserve"> </v>
      </c>
      <c r="BQ17" s="409" t="str">
        <f>IF(AND(M17&gt;0,[8]EvaluaciónRiesgoCorrup!$F$11&lt;51,F17=4,H17=5),$H$28,IF(AND(M17&gt;0,[8]EvaluaciónRiesgoCorrup!$F$11&lt;51,F17=4,H17=10),$J$28,IF(AND(M17&gt;0,[8]EvaluaciónRiesgoCorrup!$F$11&lt;51,F17=4,H17=20),$K$28," ")))</f>
        <v xml:space="preserve"> </v>
      </c>
      <c r="BR17" s="409" t="str">
        <f>IF(AND(M17&gt;0,[8]EvaluaciónRiesgoCorrup!$F$11&lt;51,F17=5,H17=5),$H$29,IF(AND(M17&gt;0,[8]EvaluaciónRiesgoCorrup!$F$11&lt;51,F17=5,H17=10),$J$29,IF(AND(M17&gt;0,[8]EvaluaciónRiesgoCorrup!$F$11&lt;51,F17=5,H17=20),$K$29," ")))</f>
        <v xml:space="preserve"> </v>
      </c>
    </row>
    <row r="18" spans="1:70" ht="198" customHeight="1" x14ac:dyDescent="0.35">
      <c r="A18" s="771" t="s">
        <v>463</v>
      </c>
      <c r="B18" s="772" t="s">
        <v>464</v>
      </c>
      <c r="C18" s="773" t="s">
        <v>465</v>
      </c>
      <c r="D18" s="774" t="s">
        <v>456</v>
      </c>
      <c r="E18" s="775" t="s">
        <v>106</v>
      </c>
      <c r="F18" s="776">
        <v>1</v>
      </c>
      <c r="G18" s="777" t="s">
        <v>121</v>
      </c>
      <c r="H18" s="778">
        <v>4</v>
      </c>
      <c r="I18" s="779" t="s">
        <v>108</v>
      </c>
      <c r="J18" s="780" t="s">
        <v>51</v>
      </c>
      <c r="K18" s="781" t="s">
        <v>466</v>
      </c>
      <c r="L18" s="1075" t="s">
        <v>26</v>
      </c>
      <c r="M18" s="1076"/>
      <c r="N18" s="782" t="s">
        <v>51</v>
      </c>
      <c r="O18" s="783" t="s">
        <v>211</v>
      </c>
      <c r="P18" s="784" t="s">
        <v>83</v>
      </c>
      <c r="Q18" s="785" t="s">
        <v>467</v>
      </c>
      <c r="R18" s="786" t="s">
        <v>468</v>
      </c>
      <c r="S18" s="936">
        <v>42947</v>
      </c>
      <c r="T18" s="788" t="s">
        <v>469</v>
      </c>
      <c r="U18" s="789" t="s">
        <v>461</v>
      </c>
      <c r="V18" s="790" t="s">
        <v>468</v>
      </c>
      <c r="X18" s="409" t="str">
        <f>IF(AND(F18=1,H18=5),$H$25,IF(AND(F18=1,H18=10),$J$25,IF(AND(F18=1,H18=20),$K$25," ")))</f>
        <v xml:space="preserve"> </v>
      </c>
      <c r="Y18" s="409" t="str">
        <f>IF(AND(F18=2,H18=5),$H$26,IF(AND(F18=2,H18=10),$J$26,IF(AND(F18=2,H18=20),$K$26," ")))</f>
        <v xml:space="preserve"> </v>
      </c>
      <c r="Z18" s="409" t="str">
        <f>IF(AND(F18=3,H18=5),$H$27,IF(AND(F18=3,H18=10),$J$27,IF(AND(F18=3,H18=20),$K$27," ")))</f>
        <v xml:space="preserve"> </v>
      </c>
      <c r="AA18" s="409" t="str">
        <f>IF(AND(F18=4,H18=5),$H$28,IF(AND(F18=4,H18=10),$J$28,IF(AND(F18=4,H18=20),$K$28," ")))</f>
        <v xml:space="preserve"> </v>
      </c>
      <c r="AB18" s="409" t="str">
        <f>IF(AND(F18=5,H18=5),$H$29,IF(AND(F18=5,H18=10),$J$29,IF(AND(F18=5,H18=20),$K$29," ")))</f>
        <v xml:space="preserve"> </v>
      </c>
      <c r="AE18" s="409" t="str">
        <f>IF(AND(L18&gt;0,[8]EvaluaciónRiesgoCorrup!$F$11&gt;75,F18=1,H18=5),$H$25,IF(AND(L18&gt;0,[8]EvaluaciónRiesgoCorrup!$F$11&gt;75,F18=1,H18=10),$J$25,IF(AND(L18&gt;0,[8]EvaluaciónRiesgoCorrup!$F$11&gt;75,F18=1,H18=20),$K$25," ")))</f>
        <v xml:space="preserve"> </v>
      </c>
      <c r="AF18" s="409" t="str">
        <f>IF(AND(L18&gt;0,[8]EvaluaciónRiesgoCorrup!$F$11&gt;75,F18=2,H18=5),$H$25,IF(AND(L18&gt;0,[8]EvaluaciónRiesgoCorrup!$F$11&gt;75,F18=2,H18=10),$J$25,IF(AND(L18&gt;0,[8]EvaluaciónRiesgoCorrup!$F$11&gt;75,F18=2,H18=20),$K$25," ")))</f>
        <v xml:space="preserve"> </v>
      </c>
      <c r="AG18" s="409" t="str">
        <f>IF(AND(L18&gt;0,[8]EvaluaciónRiesgoCorrup!$F$11&gt;75,F18=3,H18=5),$H$25,IF(AND(L18&gt;0,[8]EvaluaciónRiesgoCorrup!$F$11&gt;75,F18=3,H18=10),$J$25,IF(AND(L18&gt;0,[8]EvaluaciónRiesgoCorrup!$F$11&gt;75,F18=3,H18=20),$K$25," ")))</f>
        <v xml:space="preserve"> </v>
      </c>
      <c r="AH18" s="409" t="str">
        <f>IF(AND(L18&gt;0,[8]EvaluaciónRiesgoCorrup!$F$11&gt;75,F18=4,H18=5),$H$26,IF(AND(L18&gt;0,[8]EvaluaciónRiesgoCorrup!$F$11&gt;75,F18=4,H18=10),$J$26,IF(AND(L18&gt;0,[8]EvaluaciónRiesgoCorrup!$F$11&gt;75,F18=4,H18=20),$K$26," ")))</f>
        <v xml:space="preserve"> </v>
      </c>
      <c r="AI18" s="409" t="str">
        <f>IF(AND(L18&gt;0,[8]EvaluaciónRiesgoCorrup!$F$11&gt;75,F18=5,H18=5),$H$27,IF(AND(L18&gt;0,[8]EvaluaciónRiesgoCorrup!$F$11&gt;75,F18=5,H18=10),$J$27,IF(AND(L18&gt;0,[8]EvaluaciónRiesgoCorrup!$F$11&gt;75,F18=5,H18=20),$K$27," ")))</f>
        <v xml:space="preserve"> </v>
      </c>
      <c r="AK18" s="409" t="str">
        <f>IF(AND(L18&gt;0,[8]EvaluaciónRiesgoCorrup!$F$11&gt;50,[8]EvaluaciónRiesgoCorrup!$F$11&lt;76,F18=1,H18=5),$H$25,IF(AND(L18&gt;0,[8]EvaluaciónRiesgoCorrup!$F$11&gt;50,[8]EvaluaciónRiesgoCorrup!$F$11&lt;76,F18=1,H18=10),$J$25,IF(AND(L18&gt;0,[8]EvaluaciónRiesgoCorrup!$F$11&gt;50,[8]EvaluaciónRiesgoCorrup!$F$11&lt;76,F18=1,H18=20),$K$25," ")))</f>
        <v xml:space="preserve"> </v>
      </c>
      <c r="AL18" s="409" t="str">
        <f>IF(AND(L18&gt;0,[8]EvaluaciónRiesgoCorrup!$F$11&gt;50,[8]EvaluaciónRiesgoCorrup!$F$11&lt;76,F18=2,H18=5),$H$25,IF(AND(L18&gt;0,[8]EvaluaciónRiesgoCorrup!$F$11&gt;50,[8]EvaluaciónRiesgoCorrup!$F$11&lt;76,F18=2,H18=10),$J$25,IF(AND(L18&gt;0,[8]EvaluaciónRiesgoCorrup!$F$11&gt;50,[8]EvaluaciónRiesgoCorrup!$F$11&lt;76,F18=2,H18=20),$K$25," ")))</f>
        <v xml:space="preserve"> </v>
      </c>
      <c r="AM18" s="409" t="str">
        <f>IF(AND(L18&gt;0,[8]EvaluaciónRiesgoCorrup!$F$11&gt;50,[8]EvaluaciónRiesgoCorrup!$F$11&lt;76,F18=3,H18=5),$H$26,IF(AND(L18&gt;0,[8]EvaluaciónRiesgoCorrup!$F$11&gt;50,[8]EvaluaciónRiesgoCorrup!$F$11&lt;76,F18=3,H18=10),$J$26,IF(AND(L18&gt;0,[8]EvaluaciónRiesgoCorrup!$F$11&gt;50,[8]EvaluaciónRiesgoCorrup!$F$11&lt;76,F18=3,H18=20),$K$26," ")))</f>
        <v xml:space="preserve"> </v>
      </c>
      <c r="AN18" s="409" t="str">
        <f>IF(AND(L18&gt;0,[8]EvaluaciónRiesgoCorrup!$F$11&gt;50,[8]EvaluaciónRiesgoCorrup!$F$11&lt;76,F18=4,H18=5),$H$27,IF(AND(L18&gt;0,[8]EvaluaciónRiesgoCorrup!$F$11&gt;50,[8]EvaluaciónRiesgoCorrup!$F$11&lt;76,F18=4,H18=10),$J$27,IF(AND(L18&gt;0,[8]EvaluaciónRiesgoCorrup!$F$11&gt;50,[8]EvaluaciónRiesgoCorrup!$F$11&lt;76,F18=4,H18=20),$K$27," ")))</f>
        <v xml:space="preserve"> </v>
      </c>
      <c r="AO18" s="409" t="str">
        <f>IF(AND(L18&gt;0,[8]EvaluaciónRiesgoCorrup!$F$11&gt;50,[8]EvaluaciónRiesgoCorrup!$F$11&lt;76,F18=5,H18=5),$H$28,IF(AND(L18&gt;0,[8]EvaluaciónRiesgoCorrup!$F$11&gt;50,[8]EvaluaciónRiesgoCorrup!$F$11&lt;76,F18=5,H18=10),$J$28,IF(AND(L18&gt;0,[8]EvaluaciónRiesgoCorrup!$F$11&gt;50,[8]EvaluaciónRiesgoCorrup!$F$11&lt;76,F18=5,H18=20),$K$28," ")))</f>
        <v xml:space="preserve"> </v>
      </c>
      <c r="AR18" s="409" t="str">
        <f>IF(AND(L18&gt;0,[8]EvaluaciónRiesgoCorrup!$F$11&lt;51,F18=1,H18=5),$H$25,IF(AND(L18&gt;0,[8]EvaluaciónRiesgoCorrup!$F$11&lt;51,F18=1,H18=10),$J$25,IF(AND(L18&gt;0,[8]EvaluaciónRiesgoCorrup!$F$11&lt;51,F18=1,H18=20),K$25," ")))</f>
        <v xml:space="preserve"> </v>
      </c>
      <c r="AS18" s="409" t="str">
        <f>IF(AND(L18&gt;0,[8]EvaluaciónRiesgoCorrup!$F$11&lt;51,F18=2,H18=5),$H$26,IF(AND(L18&gt;0,[8]EvaluaciónRiesgoCorrup!$F$11&lt;51,F18=2,H18=10),$J$26,IF(AND(L18&gt;0,[8]EvaluaciónRiesgoCorrup!$F$11&lt;51,F18=2,H18=20),K$26," ")))</f>
        <v xml:space="preserve"> </v>
      </c>
      <c r="AT18" s="409" t="str">
        <f>IF(AND(L18&gt;0,[8]EvaluaciónRiesgoCorrup!$F$11&lt;51,F18=3,H18=5),$H$27,IF(AND(L18&gt;0,[8]EvaluaciónRiesgoCorrup!$F$11&lt;51,F18=3,H18=10),$J$27,IF(AND(L18&gt;0,[8]EvaluaciónRiesgoCorrup!$F$11&lt;51,F18=3,H18=20),K$27," ")))</f>
        <v xml:space="preserve"> </v>
      </c>
      <c r="AU18" s="409" t="str">
        <f>IF(AND(L18&gt;0,[8]EvaluaciónRiesgoCorrup!$F$11&lt;51,F18=4,H18=5),$H$28,IF(AND(L18&gt;0,[8]EvaluaciónRiesgoCorrup!$F$11&lt;51,F18=4,H18=10),$J$28,IF(AND(L18&gt;0,[8]EvaluaciónRiesgoCorrup!$F$11&lt;51,F18=4,H18=20),K$28," ")))</f>
        <v xml:space="preserve"> </v>
      </c>
      <c r="AV18" s="409" t="str">
        <f>IF(AND(L18&gt;0,[8]EvaluaciónRiesgoCorrup!$F$11&lt;51,F18=5,H18=5),$H$29,IF(AND(L18&gt;0,[8]EvaluaciónRiesgoCorrup!$F$11&lt;51,F18=5,H18=10),$J$29,IF(AND(L18&gt;0,[8]EvaluaciónRiesgoCorrup!$F$11&lt;51,F18=5,H18=20),K$29," ")))</f>
        <v xml:space="preserve"> </v>
      </c>
      <c r="AZ18" s="409" t="str">
        <f>IF(AND(M18&gt;0,[8]EvaluaciónRiesgoCorrup!$F$11&gt;75,F18=1,H18=5),$H$25,IF(AND(M18&gt;0,[8]EvaluaciónRiesgoCorrup!$F$11&gt;75,F18=1,H18=10),$H$25,IF(AND(M18&gt;0,[8]EvaluaciónRiesgoCorrup!$F$11&gt;75,F18=1,H18=20),$H$25," ")))</f>
        <v xml:space="preserve"> </v>
      </c>
      <c r="BA18" s="409" t="str">
        <f>IF(AND(M18&gt;0,[8]EvaluaciónRiesgoCorrup!$F$11&gt;75,F18=2,H18=5),$H$26,IF(AND(M18&gt;0,[8]EvaluaciónRiesgoCorrup!$F$11&gt;75,F18=2,H18=10),$H$26,IF(AND(M18&gt;0,[8]EvaluaciónRiesgoCorrup!$F$11&gt;75,F18=2,H18=20),$H$26," ")))</f>
        <v xml:space="preserve"> </v>
      </c>
      <c r="BB18" s="409" t="str">
        <f>IF(AND(M18&gt;0,[8]EvaluaciónRiesgoCorrup!$F$11&gt;75,F18=3,H18=5),$H$27,IF(AND(M18&gt;0,[8]EvaluaciónRiesgoCorrup!$F$11&gt;75,F18=3,H18=10),$H$27,IF(AND(M18&gt;0,[8]EvaluaciónRiesgoCorrup!$F$11&gt;75,F18=3,H18=20),$H$27," ")))</f>
        <v xml:space="preserve"> </v>
      </c>
      <c r="BC18" s="409" t="str">
        <f>IF(AND(M18&gt;0,[8]EvaluaciónRiesgoCorrup!$F$11&gt;75,F18=4,H18=5),$H$28,IF(AND(M18&gt;0,[8]EvaluaciónRiesgoCorrup!$F$11&gt;75,F18=4,H18=10),$H$28,IF(AND(M18&gt;0,[8]EvaluaciónRiesgoCorrup!$F$11&gt;75,F18=4,H18=20),$H$28," ")))</f>
        <v xml:space="preserve"> </v>
      </c>
      <c r="BD18" s="409" t="str">
        <f>IF(AND(M18&gt;0,[8]EvaluaciónRiesgoCorrup!$F$11&gt;75,F18=5,H18=5),$H$29,IF(AND(M18&gt;0,[8]EvaluaciónRiesgoCorrup!$F$11&gt;75,F18=5,H18=10),$H$29,IF(AND(M18&gt;0,[8]EvaluaciónRiesgoCorrup!$F$11&gt;75,F18=5,H18=20),$H$29," ")))</f>
        <v xml:space="preserve"> </v>
      </c>
      <c r="BG18" s="409" t="str">
        <f>IF(AND(M18&gt;0,[8]EvaluaciónRiesgoCorrup!$F$11&gt;50,[8]EvaluaciónRiesgoCorrup!$F$11&lt;76,F18=1,H18=5),$H$25,IF(AND(M18&gt;0,[8]EvaluaciónRiesgoCorrup!$F$11&gt;50,[8]EvaluaciónRiesgoCorrup!$F$11&lt;76,F18=1,H18=10),$H$25,IF(AND(M18&gt;0,[8]EvaluaciónRiesgoCorrup!$F$11&gt;50,[8]EvaluaciónRiesgoCorrup!$F$11&lt;76,F18=1,H18=20),$J$25," ")))</f>
        <v xml:space="preserve"> </v>
      </c>
      <c r="BH18" s="409" t="str">
        <f>IF(AND(M18&gt;0,[8]EvaluaciónRiesgoCorrup!$F$11&gt;50,[8]EvaluaciónRiesgoCorrup!$F$11&lt;76,F18=2,H18=5),$H$26,IF(AND(M18&gt;0,[8]EvaluaciónRiesgoCorrup!$F$11&gt;50,[8]EvaluaciónRiesgoCorrup!$F$11&lt;76,F18=2,H18=10),$H$26,IF(AND(M18&gt;0,[8]EvaluaciónRiesgoCorrup!$F$11&gt;50,[8]EvaluaciónRiesgoCorrup!$F$11&lt;76,F18=2,H18=20),$J$26," ")))</f>
        <v xml:space="preserve"> </v>
      </c>
      <c r="BI18" s="409" t="str">
        <f>IF(AND(M18&gt;0,[8]EvaluaciónRiesgoCorrup!$F$11&gt;50,[8]EvaluaciónRiesgoCorrup!$F$11&lt;76,F18=3,H18=5),$H$27,IF(AND(M18&gt;0,[8]EvaluaciónRiesgoCorrup!$F$11&gt;50,[8]EvaluaciónRiesgoCorrup!$F$11&lt;76,F18=3,H18=10),$H$27,IF(AND(M18&gt;0,[8]EvaluaciónRiesgoCorrup!$F$11&gt;50,[8]EvaluaciónRiesgoCorrup!$F$11&lt;76,F18=3,H18=20),$J$27," ")))</f>
        <v xml:space="preserve"> </v>
      </c>
      <c r="BJ18" s="409" t="str">
        <f>IF(AND(M18&gt;0,[8]EvaluaciónRiesgoCorrup!$F$11&gt;50,[8]EvaluaciónRiesgoCorrup!$F$11&lt;76,F18=4,H18=5),$H$28,IF(AND(M18&gt;0,[8]EvaluaciónRiesgoCorrup!$F$11&gt;50,[8]EvaluaciónRiesgoCorrup!$F$11&lt;76,F18=4,H18=10),$H$28,IF(AND(M18&gt;0,[8]EvaluaciónRiesgoCorrup!$F$11&gt;50,[8]EvaluaciónRiesgoCorrup!$F$11&lt;76,F18=4,H18=20),$J$28," ")))</f>
        <v xml:space="preserve"> </v>
      </c>
      <c r="BK18" s="409" t="str">
        <f>IF(AND(M18&gt;0,[8]EvaluaciónRiesgoCorrup!$F$11&gt;50,[8]EvaluaciónRiesgoCorrup!$F$11&lt;76,F18=5,H18=5),$H$29,IF(AND(M18&gt;0,[8]EvaluaciónRiesgoCorrup!$F$11&gt;50,[8]EvaluaciónRiesgoCorrup!$F$11&lt;76,F18=5,H18=10),$H$29,IF(AND(M18&gt;0,[8]EvaluaciónRiesgoCorrup!$F$11&gt;50,[8]EvaluaciónRiesgoCorrup!$F$11&lt;76,F18=5,H18=20),$J$29," ")))</f>
        <v xml:space="preserve"> </v>
      </c>
      <c r="BN18" s="409" t="str">
        <f>IF(AND(M18&gt;0,[8]EvaluaciónRiesgoCorrup!$F$11&lt;51,F18=1,H18=5),$H$25,IF(AND(M18&gt;0,[8]EvaluaciónRiesgoCorrup!$F$11&lt;51,F18=1,H18=10),$J$25,IF(AND(M18&gt;0,[8]EvaluaciónRiesgoCorrup!$F$11&lt;51,F18=1,H18=20),$K$25," ")))</f>
        <v xml:space="preserve"> </v>
      </c>
      <c r="BO18" s="409" t="str">
        <f>IF(AND(M18&gt;0,[8]EvaluaciónRiesgoCorrup!$F$11&lt;51,F18=2,H18=5),$H$26,IF(AND(M18&gt;0,[8]EvaluaciónRiesgoCorrup!$F$11&lt;51,F18=2,H18=10),$J$26,IF(AND(M18&gt;0,[8]EvaluaciónRiesgoCorrup!$F$11&lt;51,F18=2,H18=20),$K$26," ")))</f>
        <v xml:space="preserve"> </v>
      </c>
      <c r="BP18" s="409" t="str">
        <f>IF(AND(M18&gt;0,[8]EvaluaciónRiesgoCorrup!$F$11&lt;51,F18=3,H18=5),$H$27,IF(AND(M18&gt;0,[8]EvaluaciónRiesgoCorrup!$F$11&lt;51,F18=3,H18=10),$J$27,IF(AND(M18&gt;0,[8]EvaluaciónRiesgoCorrup!$F$11&lt;51,F18=3,H18=20),$K$27," ")))</f>
        <v xml:space="preserve"> </v>
      </c>
      <c r="BQ18" s="409" t="str">
        <f>IF(AND(M18&gt;0,[8]EvaluaciónRiesgoCorrup!$F$11&lt;51,F18=4,H18=5),$H$28,IF(AND(M18&gt;0,[8]EvaluaciónRiesgoCorrup!$F$11&lt;51,F18=4,H18=10),$J$28,IF(AND(M18&gt;0,[8]EvaluaciónRiesgoCorrup!$F$11&lt;51,F18=4,H18=20),$K$28," ")))</f>
        <v xml:space="preserve"> </v>
      </c>
      <c r="BR18" s="409" t="str">
        <f>IF(AND(M18&gt;0,[8]EvaluaciónRiesgoCorrup!$F$11&lt;51,F18=5,H18=5),$H$29,IF(AND(M18&gt;0,[8]EvaluaciónRiesgoCorrup!$F$11&lt;51,F18=5,H18=10),$J$29,IF(AND(M18&gt;0,[8]EvaluaciónRiesgoCorrup!$F$11&lt;51,F18=5,H18=20),$K$29," ")))</f>
        <v xml:space="preserve"> </v>
      </c>
    </row>
    <row r="19" spans="1:70" ht="153.75" customHeight="1" x14ac:dyDescent="0.35">
      <c r="A19" s="661"/>
      <c r="B19" s="581"/>
      <c r="C19" s="661"/>
      <c r="D19" s="661"/>
      <c r="E19" s="682"/>
      <c r="F19" s="710"/>
      <c r="G19" s="710"/>
      <c r="H19" s="686"/>
      <c r="I19" s="686"/>
      <c r="J19" s="689"/>
      <c r="K19" s="580"/>
      <c r="L19" s="1065"/>
      <c r="M19" s="1066"/>
      <c r="N19" s="689"/>
      <c r="O19" s="690"/>
      <c r="P19" s="730"/>
      <c r="Q19" s="579"/>
      <c r="R19" s="544"/>
      <c r="S19" s="543"/>
      <c r="T19" s="398"/>
      <c r="U19" s="696"/>
      <c r="V19" s="728"/>
      <c r="X19" s="409" t="str">
        <f>IF(AND(F19=1,H19=5),$H$25,IF(AND(F19=1,H19=10),$J$25,IF(AND(F19=1,H19=20),$K$25," ")))</f>
        <v xml:space="preserve"> </v>
      </c>
      <c r="Y19" s="409" t="str">
        <f>IF(AND(F19=2,H19=5),$H$26,IF(AND(F19=2,H19=10),$J$26,IF(AND(F19=2,H19=20),$K$26," ")))</f>
        <v xml:space="preserve"> </v>
      </c>
      <c r="Z19" s="409" t="str">
        <f>IF(AND(F19=3,H19=5),$H$27,IF(AND(F19=3,H19=10),$J$27,IF(AND(F19=3,H19=20),$K$27," ")))</f>
        <v xml:space="preserve"> </v>
      </c>
      <c r="AA19" s="409" t="str">
        <f>IF(AND(F19=4,H19=5),$H$28,IF(AND(F19=4,H19=10),$J$28,IF(AND(F19=4,H19=20),$K$28," ")))</f>
        <v xml:space="preserve"> </v>
      </c>
      <c r="AB19" s="409" t="str">
        <f>IF(AND(F19=5,H19=5),$H$29,IF(AND(F19=5,H19=10),$J$29,IF(AND(F19=5,H19=20),$K$29," ")))</f>
        <v xml:space="preserve"> </v>
      </c>
      <c r="AE19" s="409" t="str">
        <f>IF(AND(L19&gt;0,[8]EvaluaciónRiesgoCorrup!$F$11&gt;75,F19=1,H19=5),$H$25,IF(AND(L19&gt;0,[8]EvaluaciónRiesgoCorrup!$F$11&gt;75,F19=1,H19=10),$J$25,IF(AND(L19&gt;0,[8]EvaluaciónRiesgoCorrup!$F$11&gt;75,F19=1,H19=20),$K$25," ")))</f>
        <v xml:space="preserve"> </v>
      </c>
      <c r="AF19" s="409" t="str">
        <f>IF(AND(L19&gt;0,[8]EvaluaciónRiesgoCorrup!$F$11&gt;75,F19=2,H19=5),$H$25,IF(AND(L19&gt;0,[8]EvaluaciónRiesgoCorrup!$F$11&gt;75,F19=2,H19=10),$J$25,IF(AND(L19&gt;0,[8]EvaluaciónRiesgoCorrup!$F$11&gt;75,F19=2,H19=20),$K$25," ")))</f>
        <v xml:space="preserve"> </v>
      </c>
      <c r="AG19" s="409" t="str">
        <f>IF(AND(L19&gt;0,[8]EvaluaciónRiesgoCorrup!$F$11&gt;75,F19=3,H19=5),$H$25,IF(AND(L19&gt;0,[8]EvaluaciónRiesgoCorrup!$F$11&gt;75,F19=3,H19=10),$J$25,IF(AND(L19&gt;0,[8]EvaluaciónRiesgoCorrup!$F$11&gt;75,F19=3,H19=20),$K$25," ")))</f>
        <v xml:space="preserve"> </v>
      </c>
      <c r="AH19" s="409" t="str">
        <f>IF(AND(L19&gt;0,[8]EvaluaciónRiesgoCorrup!$F$11&gt;75,F19=4,H19=5),$H$26,IF(AND(L19&gt;0,[8]EvaluaciónRiesgoCorrup!$F$11&gt;75,F19=4,H19=10),$J$26,IF(AND(L19&gt;0,[8]EvaluaciónRiesgoCorrup!$F$11&gt;75,F19=4,H19=20),$K$26," ")))</f>
        <v xml:space="preserve"> </v>
      </c>
      <c r="AI19" s="409" t="str">
        <f>IF(AND(L19&gt;0,[8]EvaluaciónRiesgoCorrup!$F$11&gt;75,F19=5,H19=5),$H$27,IF(AND(L19&gt;0,[8]EvaluaciónRiesgoCorrup!$F$11&gt;75,F19=5,H19=10),$J$27,IF(AND(L19&gt;0,[8]EvaluaciónRiesgoCorrup!$F$11&gt;75,F19=5,H19=20),$K$27," ")))</f>
        <v xml:space="preserve"> </v>
      </c>
      <c r="AK19" s="409" t="str">
        <f>IF(AND(L19&gt;0,[8]EvaluaciónRiesgoCorrup!$F$11&gt;50,[8]EvaluaciónRiesgoCorrup!$F$11&lt;76,F19=1,H19=5),$H$25,IF(AND(L19&gt;0,[8]EvaluaciónRiesgoCorrup!$F$11&gt;50,[8]EvaluaciónRiesgoCorrup!$F$11&lt;76,F19=1,H19=10),$J$25,IF(AND(L19&gt;0,[8]EvaluaciónRiesgoCorrup!$F$11&gt;50,[8]EvaluaciónRiesgoCorrup!$F$11&lt;76,F19=1,H19=20),$K$25," ")))</f>
        <v xml:space="preserve"> </v>
      </c>
      <c r="AL19" s="409" t="str">
        <f>IF(AND(L19&gt;0,[8]EvaluaciónRiesgoCorrup!$F$11&gt;50,[8]EvaluaciónRiesgoCorrup!$F$11&lt;76,F19=2,H19=5),$H$25,IF(AND(L19&gt;0,[8]EvaluaciónRiesgoCorrup!$F$11&gt;50,[8]EvaluaciónRiesgoCorrup!$F$11&lt;76,F19=2,H19=10),$J$25,IF(AND(L19&gt;0,[8]EvaluaciónRiesgoCorrup!$F$11&gt;50,[8]EvaluaciónRiesgoCorrup!$F$11&lt;76,F19=2,H19=20),$K$25," ")))</f>
        <v xml:space="preserve"> </v>
      </c>
      <c r="AM19" s="409" t="str">
        <f>IF(AND(L19&gt;0,[8]EvaluaciónRiesgoCorrup!$F$11&gt;50,[8]EvaluaciónRiesgoCorrup!$F$11&lt;76,F19=3,H19=5),$H$26,IF(AND(L19&gt;0,[8]EvaluaciónRiesgoCorrup!$F$11&gt;50,[8]EvaluaciónRiesgoCorrup!$F$11&lt;76,F19=3,H19=10),$J$26,IF(AND(L19&gt;0,[8]EvaluaciónRiesgoCorrup!$F$11&gt;50,[8]EvaluaciónRiesgoCorrup!$F$11&lt;76,F19=3,H19=20),$K$26," ")))</f>
        <v xml:space="preserve"> </v>
      </c>
      <c r="AN19" s="409" t="str">
        <f>IF(AND(L19&gt;0,[8]EvaluaciónRiesgoCorrup!$F$11&gt;50,[8]EvaluaciónRiesgoCorrup!$F$11&lt;76,F19=4,H19=5),$H$27,IF(AND(L19&gt;0,[8]EvaluaciónRiesgoCorrup!$F$11&gt;50,[8]EvaluaciónRiesgoCorrup!$F$11&lt;76,F19=4,H19=10),$J$27,IF(AND(L19&gt;0,[8]EvaluaciónRiesgoCorrup!$F$11&gt;50,[8]EvaluaciónRiesgoCorrup!$F$11&lt;76,F19=4,H19=20),$K$27," ")))</f>
        <v xml:space="preserve"> </v>
      </c>
      <c r="AO19" s="409" t="str">
        <f>IF(AND(L19&gt;0,[8]EvaluaciónRiesgoCorrup!$F$11&gt;50,[8]EvaluaciónRiesgoCorrup!$F$11&lt;76,F19=5,H19=5),$H$28,IF(AND(L19&gt;0,[8]EvaluaciónRiesgoCorrup!$F$11&gt;50,[8]EvaluaciónRiesgoCorrup!$F$11&lt;76,F19=5,H19=10),$J$28,IF(AND(L19&gt;0,[8]EvaluaciónRiesgoCorrup!$F$11&gt;50,[8]EvaluaciónRiesgoCorrup!$F$11&lt;76,F19=5,H19=20),$K$28," ")))</f>
        <v xml:space="preserve"> </v>
      </c>
      <c r="AR19" s="409" t="str">
        <f>IF(AND(L19&gt;0,[8]EvaluaciónRiesgoCorrup!$F$11&lt;51,F19=1,H19=5),$H$25,IF(AND(L19&gt;0,[8]EvaluaciónRiesgoCorrup!$F$11&lt;51,F19=1,H19=10),$J$25,IF(AND(L19&gt;0,[8]EvaluaciónRiesgoCorrup!$F$11&lt;51,F19=1,H19=20),K$25," ")))</f>
        <v xml:space="preserve"> </v>
      </c>
      <c r="AS19" s="409" t="str">
        <f>IF(AND(L19&gt;0,[8]EvaluaciónRiesgoCorrup!$F$11&lt;51,F19=2,H19=5),$H$26,IF(AND(L19&gt;0,[8]EvaluaciónRiesgoCorrup!$F$11&lt;51,F19=2,H19=10),$J$26,IF(AND(L19&gt;0,[8]EvaluaciónRiesgoCorrup!$F$11&lt;51,F19=2,H19=20),K$26," ")))</f>
        <v xml:space="preserve"> </v>
      </c>
      <c r="AT19" s="409" t="str">
        <f>IF(AND(L19&gt;0,[8]EvaluaciónRiesgoCorrup!$F$11&lt;51,F19=3,H19=5),$H$27,IF(AND(L19&gt;0,[8]EvaluaciónRiesgoCorrup!$F$11&lt;51,F19=3,H19=10),$J$27,IF(AND(L19&gt;0,[8]EvaluaciónRiesgoCorrup!$F$11&lt;51,F19=3,H19=20),K$27," ")))</f>
        <v xml:space="preserve"> </v>
      </c>
      <c r="AU19" s="409" t="str">
        <f>IF(AND(L19&gt;0,[8]EvaluaciónRiesgoCorrup!$F$11&lt;51,F19=4,H19=5),$H$28,IF(AND(L19&gt;0,[8]EvaluaciónRiesgoCorrup!$F$11&lt;51,F19=4,H19=10),$J$28,IF(AND(L19&gt;0,[8]EvaluaciónRiesgoCorrup!$F$11&lt;51,F19=4,H19=20),K$28," ")))</f>
        <v xml:space="preserve"> </v>
      </c>
      <c r="AV19" s="409" t="str">
        <f>IF(AND(L19&gt;0,[8]EvaluaciónRiesgoCorrup!$F$11&lt;51,F19=5,H19=5),$H$29,IF(AND(L19&gt;0,[8]EvaluaciónRiesgoCorrup!$F$11&lt;51,F19=5,H19=10),$J$29,IF(AND(L19&gt;0,[8]EvaluaciónRiesgoCorrup!$F$11&lt;51,F19=5,H19=20),K$29," ")))</f>
        <v xml:space="preserve"> </v>
      </c>
      <c r="AZ19" s="409" t="str">
        <f>IF(AND(M19&gt;0,[8]EvaluaciónRiesgoCorrup!$F$11&gt;75,F19=1,H19=5),$H$25,IF(AND(M19&gt;0,[8]EvaluaciónRiesgoCorrup!$F$11&gt;75,F19=1,H19=10),$H$25,IF(AND(M19&gt;0,[8]EvaluaciónRiesgoCorrup!$F$11&gt;75,F19=1,H19=20),$H$25," ")))</f>
        <v xml:space="preserve"> </v>
      </c>
      <c r="BA19" s="409" t="str">
        <f>IF(AND(M19&gt;0,[8]EvaluaciónRiesgoCorrup!$F$11&gt;75,F19=2,H19=5),$H$26,IF(AND(M19&gt;0,[8]EvaluaciónRiesgoCorrup!$F$11&gt;75,F19=2,H19=10),$H$26,IF(AND(M19&gt;0,[8]EvaluaciónRiesgoCorrup!$F$11&gt;75,F19=2,H19=20),$H$26," ")))</f>
        <v xml:space="preserve"> </v>
      </c>
      <c r="BB19" s="409" t="str">
        <f>IF(AND(M19&gt;0,[8]EvaluaciónRiesgoCorrup!$F$11&gt;75,F19=3,H19=5),$H$27,IF(AND(M19&gt;0,[8]EvaluaciónRiesgoCorrup!$F$11&gt;75,F19=3,H19=10),$H$27,IF(AND(M19&gt;0,[8]EvaluaciónRiesgoCorrup!$F$11&gt;75,F19=3,H19=20),$H$27," ")))</f>
        <v xml:space="preserve"> </v>
      </c>
      <c r="BC19" s="409" t="str">
        <f>IF(AND(M19&gt;0,[8]EvaluaciónRiesgoCorrup!$F$11&gt;75,F19=4,H19=5),$H$28,IF(AND(M19&gt;0,[8]EvaluaciónRiesgoCorrup!$F$11&gt;75,F19=4,H19=10),$H$28,IF(AND(M19&gt;0,[8]EvaluaciónRiesgoCorrup!$F$11&gt;75,F19=4,H19=20),$H$28," ")))</f>
        <v xml:space="preserve"> </v>
      </c>
      <c r="BD19" s="409" t="str">
        <f>IF(AND(M19&gt;0,[8]EvaluaciónRiesgoCorrup!$F$11&gt;75,F19=5,H19=5),$H$29,IF(AND(M19&gt;0,[8]EvaluaciónRiesgoCorrup!$F$11&gt;75,F19=5,H19=10),$H$29,IF(AND(M19&gt;0,[8]EvaluaciónRiesgoCorrup!$F$11&gt;75,F19=5,H19=20),$H$29," ")))</f>
        <v xml:space="preserve"> </v>
      </c>
      <c r="BG19" s="409" t="str">
        <f>IF(AND(M19&gt;0,[8]EvaluaciónRiesgoCorrup!$F$11&gt;50,[8]EvaluaciónRiesgoCorrup!$F$11&lt;76,F19=1,H19=5),$H$25,IF(AND(M19&gt;0,[8]EvaluaciónRiesgoCorrup!$F$11&gt;50,[8]EvaluaciónRiesgoCorrup!$F$11&lt;76,F19=1,H19=10),$H$25,IF(AND(M19&gt;0,[8]EvaluaciónRiesgoCorrup!$F$11&gt;50,[8]EvaluaciónRiesgoCorrup!$F$11&lt;76,F19=1,H19=20),$J$25," ")))</f>
        <v xml:space="preserve"> </v>
      </c>
      <c r="BH19" s="409" t="str">
        <f>IF(AND(M19&gt;0,[8]EvaluaciónRiesgoCorrup!$F$11&gt;50,[8]EvaluaciónRiesgoCorrup!$F$11&lt;76,F19=2,H19=5),$H$26,IF(AND(M19&gt;0,[8]EvaluaciónRiesgoCorrup!$F$11&gt;50,[8]EvaluaciónRiesgoCorrup!$F$11&lt;76,F19=2,H19=10),$H$26,IF(AND(M19&gt;0,[8]EvaluaciónRiesgoCorrup!$F$11&gt;50,[8]EvaluaciónRiesgoCorrup!$F$11&lt;76,F19=2,H19=20),$J$26," ")))</f>
        <v xml:space="preserve"> </v>
      </c>
      <c r="BI19" s="409" t="str">
        <f>IF(AND(M19&gt;0,[8]EvaluaciónRiesgoCorrup!$F$11&gt;50,[8]EvaluaciónRiesgoCorrup!$F$11&lt;76,F19=3,H19=5),$H$27,IF(AND(M19&gt;0,[8]EvaluaciónRiesgoCorrup!$F$11&gt;50,[8]EvaluaciónRiesgoCorrup!$F$11&lt;76,F19=3,H19=10),$H$27,IF(AND(M19&gt;0,[8]EvaluaciónRiesgoCorrup!$F$11&gt;50,[8]EvaluaciónRiesgoCorrup!$F$11&lt;76,F19=3,H19=20),$J$27," ")))</f>
        <v xml:space="preserve"> </v>
      </c>
      <c r="BJ19" s="409" t="str">
        <f>IF(AND(M19&gt;0,[8]EvaluaciónRiesgoCorrup!$F$11&gt;50,[8]EvaluaciónRiesgoCorrup!$F$11&lt;76,F19=4,H19=5),$H$28,IF(AND(M19&gt;0,[8]EvaluaciónRiesgoCorrup!$F$11&gt;50,[8]EvaluaciónRiesgoCorrup!$F$11&lt;76,F19=4,H19=10),$H$28,IF(AND(M19&gt;0,[8]EvaluaciónRiesgoCorrup!$F$11&gt;50,[8]EvaluaciónRiesgoCorrup!$F$11&lt;76,F19=4,H19=20),$J$28," ")))</f>
        <v xml:space="preserve"> </v>
      </c>
      <c r="BK19" s="409" t="str">
        <f>IF(AND(M19&gt;0,[8]EvaluaciónRiesgoCorrup!$F$11&gt;50,[8]EvaluaciónRiesgoCorrup!$F$11&lt;76,F19=5,H19=5),$H$29,IF(AND(M19&gt;0,[8]EvaluaciónRiesgoCorrup!$F$11&gt;50,[8]EvaluaciónRiesgoCorrup!$F$11&lt;76,F19=5,H19=10),$H$29,IF(AND(M19&gt;0,[8]EvaluaciónRiesgoCorrup!$F$11&gt;50,[8]EvaluaciónRiesgoCorrup!$F$11&lt;76,F19=5,H19=20),$J$29," ")))</f>
        <v xml:space="preserve"> </v>
      </c>
      <c r="BN19" s="409" t="str">
        <f>IF(AND(M19&gt;0,[8]EvaluaciónRiesgoCorrup!$F$11&lt;51,F19=1,H19=5),$H$25,IF(AND(M19&gt;0,[8]EvaluaciónRiesgoCorrup!$F$11&lt;51,F19=1,H19=10),$J$25,IF(AND(M19&gt;0,[8]EvaluaciónRiesgoCorrup!$F$11&lt;51,F19=1,H19=20),$K$25," ")))</f>
        <v xml:space="preserve"> </v>
      </c>
      <c r="BO19" s="409" t="str">
        <f>IF(AND(M19&gt;0,[8]EvaluaciónRiesgoCorrup!$F$11&lt;51,F19=2,H19=5),$H$26,IF(AND(M19&gt;0,[8]EvaluaciónRiesgoCorrup!$F$11&lt;51,F19=2,H19=10),$J$26,IF(AND(M19&gt;0,[8]EvaluaciónRiesgoCorrup!$F$11&lt;51,F19=2,H19=20),$K$26," ")))</f>
        <v xml:space="preserve"> </v>
      </c>
      <c r="BP19" s="409" t="str">
        <f>IF(AND(M19&gt;0,[8]EvaluaciónRiesgoCorrup!$F$11&lt;51,F19=3,H19=5),$H$27,IF(AND(M19&gt;0,[8]EvaluaciónRiesgoCorrup!$F$11&lt;51,F19=3,H19=10),$J$27,IF(AND(M19&gt;0,[8]EvaluaciónRiesgoCorrup!$F$11&lt;51,F19=3,H19=20),$K$27," ")))</f>
        <v xml:space="preserve"> </v>
      </c>
      <c r="BQ19" s="409" t="str">
        <f>IF(AND(M19&gt;0,[8]EvaluaciónRiesgoCorrup!$F$11&lt;51,F19=4,H19=5),$H$28,IF(AND(M19&gt;0,[8]EvaluaciónRiesgoCorrup!$F$11&lt;51,F19=4,H19=10),$J$28,IF(AND(M19&gt;0,[8]EvaluaciónRiesgoCorrup!$F$11&lt;51,F19=4,H19=20),$K$28," ")))</f>
        <v xml:space="preserve"> </v>
      </c>
      <c r="BR19" s="409" t="str">
        <f>IF(AND(M19&gt;0,[8]EvaluaciónRiesgoCorrup!$F$11&lt;51,F19=5,H19=5),$H$29,IF(AND(M19&gt;0,[8]EvaluaciónRiesgoCorrup!$F$11&lt;51,F19=5,H19=10),$J$29,IF(AND(M19&gt;0,[8]EvaluaciónRiesgoCorrup!$F$11&lt;51,F19=5,H19=20),$K$29," ")))</f>
        <v xml:space="preserve"> </v>
      </c>
    </row>
    <row r="20" spans="1:70" ht="153.75" customHeight="1" x14ac:dyDescent="0.35">
      <c r="A20" s="678"/>
      <c r="B20" s="545"/>
      <c r="C20" s="682"/>
      <c r="D20" s="682"/>
      <c r="E20" s="682"/>
      <c r="F20" s="710"/>
      <c r="G20" s="710"/>
      <c r="H20" s="686"/>
      <c r="I20" s="686"/>
      <c r="J20" s="689"/>
      <c r="K20" s="546"/>
      <c r="L20" s="1065"/>
      <c r="M20" s="1066"/>
      <c r="N20" s="689"/>
      <c r="O20" s="690"/>
      <c r="P20" s="730"/>
      <c r="Q20" s="547"/>
      <c r="R20" s="409"/>
      <c r="S20" s="542"/>
      <c r="T20" s="409"/>
      <c r="U20" s="696"/>
      <c r="V20" s="728"/>
    </row>
    <row r="21" spans="1:70" x14ac:dyDescent="0.35">
      <c r="A21" s="409"/>
      <c r="B21" s="410"/>
      <c r="C21" s="105"/>
      <c r="D21" s="105"/>
      <c r="E21" s="423"/>
      <c r="V21" s="409"/>
    </row>
    <row r="22" spans="1:70" ht="14.5" thickBot="1" x14ac:dyDescent="0.4">
      <c r="A22" s="409"/>
      <c r="B22" s="410"/>
      <c r="C22" s="410"/>
      <c r="D22" s="410"/>
      <c r="E22" s="423"/>
      <c r="H22" s="424"/>
      <c r="I22" s="424"/>
      <c r="J22" s="424"/>
    </row>
    <row r="23" spans="1:70" ht="14.5" thickBot="1" x14ac:dyDescent="0.4">
      <c r="A23" s="6"/>
      <c r="B23" s="423"/>
      <c r="C23" s="423"/>
      <c r="D23" s="423"/>
      <c r="E23" s="423"/>
      <c r="F23" s="1019" t="s">
        <v>26</v>
      </c>
      <c r="G23" s="84"/>
      <c r="H23" s="1021" t="s">
        <v>10</v>
      </c>
      <c r="I23" s="1021"/>
      <c r="J23" s="1021"/>
      <c r="K23" s="1022"/>
      <c r="L23" s="399"/>
      <c r="Q23" s="402"/>
      <c r="S23" s="399"/>
    </row>
    <row r="24" spans="1:70" ht="32.25" customHeight="1" thickBot="1" x14ac:dyDescent="0.4">
      <c r="A24" s="402"/>
      <c r="B24" s="411" t="s">
        <v>42</v>
      </c>
      <c r="C24" s="411"/>
      <c r="D24" s="411"/>
      <c r="E24" s="411"/>
      <c r="F24" s="1020"/>
      <c r="G24" s="702"/>
      <c r="H24" s="412" t="s">
        <v>43</v>
      </c>
      <c r="I24" s="412"/>
      <c r="J24" s="36" t="s">
        <v>44</v>
      </c>
      <c r="K24" s="412" t="s">
        <v>45</v>
      </c>
      <c r="L24" s="399"/>
      <c r="Q24" s="402"/>
      <c r="S24" s="399"/>
    </row>
    <row r="25" spans="1:70" ht="14.5" thickBot="1" x14ac:dyDescent="0.4">
      <c r="B25" s="402" t="s">
        <v>46</v>
      </c>
      <c r="C25" s="402"/>
      <c r="D25" s="402"/>
      <c r="F25" s="413" t="s">
        <v>47</v>
      </c>
      <c r="G25" s="413"/>
      <c r="H25" s="414" t="s">
        <v>48</v>
      </c>
      <c r="I25" s="414"/>
      <c r="J25" s="414" t="s">
        <v>48</v>
      </c>
      <c r="K25" s="415" t="s">
        <v>49</v>
      </c>
      <c r="L25" s="399"/>
      <c r="Q25" s="402"/>
      <c r="S25" s="399"/>
    </row>
    <row r="26" spans="1:70" ht="14.5" thickBot="1" x14ac:dyDescent="0.4">
      <c r="F26" s="413" t="s">
        <v>50</v>
      </c>
      <c r="G26" s="413"/>
      <c r="H26" s="414" t="s">
        <v>48</v>
      </c>
      <c r="I26" s="414"/>
      <c r="J26" s="415" t="s">
        <v>49</v>
      </c>
      <c r="K26" s="40" t="s">
        <v>51</v>
      </c>
      <c r="L26" s="399"/>
      <c r="Q26" s="402"/>
      <c r="S26" s="399"/>
    </row>
    <row r="27" spans="1:70" ht="14.5" thickBot="1" x14ac:dyDescent="0.4">
      <c r="F27" s="413" t="s">
        <v>52</v>
      </c>
      <c r="G27" s="413"/>
      <c r="H27" s="415" t="s">
        <v>49</v>
      </c>
      <c r="I27" s="415"/>
      <c r="J27" s="40" t="s">
        <v>51</v>
      </c>
      <c r="K27" s="41" t="s">
        <v>53</v>
      </c>
      <c r="L27" s="399"/>
      <c r="Q27" s="402"/>
      <c r="S27" s="399"/>
    </row>
    <row r="28" spans="1:70" ht="14.5" thickBot="1" x14ac:dyDescent="0.4">
      <c r="F28" s="413" t="s">
        <v>54</v>
      </c>
      <c r="G28" s="413"/>
      <c r="H28" s="415" t="s">
        <v>49</v>
      </c>
      <c r="I28" s="415"/>
      <c r="J28" s="40" t="s">
        <v>51</v>
      </c>
      <c r="K28" s="41" t="s">
        <v>53</v>
      </c>
      <c r="L28" s="399"/>
      <c r="Q28" s="402"/>
      <c r="S28" s="399"/>
    </row>
    <row r="29" spans="1:70" ht="14.5" thickBot="1" x14ac:dyDescent="0.4">
      <c r="F29" s="413" t="s">
        <v>55</v>
      </c>
      <c r="G29" s="413"/>
      <c r="H29" s="415" t="s">
        <v>49</v>
      </c>
      <c r="I29" s="415"/>
      <c r="J29" s="40" t="s">
        <v>51</v>
      </c>
      <c r="K29" s="41" t="s">
        <v>53</v>
      </c>
      <c r="L29" s="399"/>
      <c r="Q29" s="402"/>
      <c r="S29" s="399"/>
    </row>
    <row r="30" spans="1:70" x14ac:dyDescent="0.35">
      <c r="F30" s="399"/>
      <c r="G30" s="399"/>
      <c r="H30" s="399"/>
      <c r="I30" s="399"/>
      <c r="J30" s="399"/>
      <c r="K30" s="402"/>
      <c r="M30" s="402"/>
    </row>
    <row r="31" spans="1:70" x14ac:dyDescent="0.35">
      <c r="F31" s="416" t="s">
        <v>56</v>
      </c>
      <c r="G31" s="416"/>
      <c r="H31" s="399"/>
      <c r="I31" s="399"/>
      <c r="J31" s="399"/>
      <c r="K31" s="402"/>
      <c r="M31" s="402"/>
      <c r="N31" s="402"/>
      <c r="O31" s="402"/>
      <c r="P31" s="402"/>
    </row>
    <row r="32" spans="1:70" x14ac:dyDescent="0.35">
      <c r="F32" s="417" t="s">
        <v>57</v>
      </c>
      <c r="G32" s="417"/>
      <c r="H32" s="399"/>
      <c r="I32" s="399"/>
      <c r="J32" s="399"/>
      <c r="K32" s="402"/>
      <c r="M32" s="402"/>
      <c r="N32" s="402"/>
      <c r="O32" s="402"/>
      <c r="P32" s="402"/>
    </row>
    <row r="33" spans="6:16" x14ac:dyDescent="0.35">
      <c r="F33" s="418" t="s">
        <v>58</v>
      </c>
      <c r="G33" s="418"/>
      <c r="H33" s="399"/>
      <c r="I33" s="399"/>
      <c r="J33" s="399"/>
      <c r="K33" s="402"/>
      <c r="M33" s="402"/>
      <c r="N33" s="402"/>
      <c r="O33" s="402"/>
      <c r="P33" s="402"/>
    </row>
    <row r="34" spans="6:16" x14ac:dyDescent="0.35">
      <c r="F34" s="419" t="s">
        <v>59</v>
      </c>
      <c r="G34" s="419"/>
      <c r="H34" s="399"/>
      <c r="I34" s="399"/>
      <c r="J34" s="399"/>
      <c r="K34" s="402"/>
      <c r="M34" s="402"/>
      <c r="N34" s="402"/>
      <c r="O34" s="402"/>
      <c r="P34" s="402"/>
    </row>
  </sheetData>
  <mergeCells count="37">
    <mergeCell ref="L20:M20"/>
    <mergeCell ref="F23:F24"/>
    <mergeCell ref="H23:K23"/>
    <mergeCell ref="F6:V6"/>
    <mergeCell ref="F10:V10"/>
    <mergeCell ref="F12:V12"/>
    <mergeCell ref="L17:M17"/>
    <mergeCell ref="L18:M18"/>
    <mergeCell ref="T15:T16"/>
    <mergeCell ref="U15:U16"/>
    <mergeCell ref="V15:V16"/>
    <mergeCell ref="L19:M19"/>
    <mergeCell ref="S15:S16"/>
    <mergeCell ref="A12:D12"/>
    <mergeCell ref="AG13:AY13"/>
    <mergeCell ref="BA13:BT13"/>
    <mergeCell ref="A14:D14"/>
    <mergeCell ref="F14:H14"/>
    <mergeCell ref="K14:K16"/>
    <mergeCell ref="L14:N14"/>
    <mergeCell ref="P14:R14"/>
    <mergeCell ref="S14:V14"/>
    <mergeCell ref="A15:A16"/>
    <mergeCell ref="B15:B16"/>
    <mergeCell ref="F15:H15"/>
    <mergeCell ref="L15:N15"/>
    <mergeCell ref="P15:R15"/>
    <mergeCell ref="A6:D6"/>
    <mergeCell ref="A8:D8"/>
    <mergeCell ref="F8:V8"/>
    <mergeCell ref="A10:D10"/>
    <mergeCell ref="A1:D4"/>
    <mergeCell ref="F1:T4"/>
    <mergeCell ref="U1:V1"/>
    <mergeCell ref="U2:V2"/>
    <mergeCell ref="U3:V3"/>
    <mergeCell ref="U4:V4"/>
  </mergeCells>
  <conditionalFormatting sqref="J17:J19 N17:O19">
    <cfRule type="containsText" dxfId="159" priority="1" operator="containsText" text="E">
      <formula>NOT(ISERROR(SEARCH("E",J17)))</formula>
    </cfRule>
    <cfRule type="containsText" dxfId="158" priority="2" operator="containsText" text="M">
      <formula>NOT(ISERROR(SEARCH("M",J17)))</formula>
    </cfRule>
    <cfRule type="containsText" dxfId="157" priority="3" operator="containsText" text="A">
      <formula>NOT(ISERROR(SEARCH("A",J17)))</formula>
    </cfRule>
    <cfRule type="containsText" dxfId="156" priority="4" operator="containsText" text="B">
      <formula>NOT(ISERROR(SEARCH("B",J17)))</formula>
    </cfRule>
  </conditionalFormatting>
  <dataValidations disablePrompts="1" count="2">
    <dataValidation type="list" allowBlank="1" showInputMessage="1" showErrorMessage="1" sqref="P20:Q20">
      <formula1>$J$31:$J$34</formula1>
    </dataValidation>
    <dataValidation type="list" allowBlank="1" showInputMessage="1" showErrorMessage="1" sqref="L20:O20">
      <formula1>#REF!</formula1>
    </dataValidation>
  </dataValidations>
  <pageMargins left="0.7" right="0.7" top="0.75" bottom="0.75" header="0.3" footer="0.3"/>
  <pageSetup scale="1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4"/>
  <sheetViews>
    <sheetView showGridLines="0" view="pageBreakPreview" topLeftCell="Q18" zoomScale="110" zoomScaleNormal="70" zoomScaleSheetLayoutView="110" workbookViewId="0">
      <selection activeCell="S20" sqref="S20"/>
    </sheetView>
  </sheetViews>
  <sheetFormatPr baseColWidth="10" defaultColWidth="11.453125" defaultRowHeight="14" x14ac:dyDescent="0.35"/>
  <cols>
    <col min="1" max="1" width="56.54296875" style="399" customWidth="1"/>
    <col min="2" max="5" width="40.453125" style="399" customWidth="1"/>
    <col min="6" max="7" width="27" style="402" customWidth="1"/>
    <col min="8" max="9" width="19" style="402" customWidth="1"/>
    <col min="10" max="10" width="26.7265625" style="402" customWidth="1"/>
    <col min="11" max="11" width="29.7265625" style="399" customWidth="1"/>
    <col min="12" max="12" width="17.7265625" style="402" customWidth="1"/>
    <col min="13" max="13" width="18.54296875" style="399" customWidth="1"/>
    <col min="14" max="15" width="21.7265625" style="399" customWidth="1"/>
    <col min="16" max="16" width="19.81640625" style="399" customWidth="1"/>
    <col min="17" max="17" width="31.54296875" style="399" customWidth="1"/>
    <col min="18" max="18" width="17" style="399" customWidth="1"/>
    <col min="19" max="19" width="23.1796875" style="402" customWidth="1"/>
    <col min="20" max="20" width="35.26953125" style="399" customWidth="1"/>
    <col min="21" max="21" width="30.453125" style="399" customWidth="1"/>
    <col min="22" max="22" width="34.1796875" style="399" customWidth="1"/>
    <col min="23" max="23" width="30.453125" style="399" customWidth="1"/>
    <col min="24" max="24" width="36" style="399" hidden="1" customWidth="1"/>
    <col min="25" max="25" width="0" style="399" hidden="1" customWidth="1"/>
    <col min="26" max="72" width="11.453125" style="399" hidden="1" customWidth="1"/>
    <col min="73" max="73" width="11.453125" style="399" customWidth="1"/>
    <col min="74" max="16384" width="11.453125" style="399"/>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60" t="s">
        <v>372</v>
      </c>
      <c r="V2" s="1061"/>
      <c r="W2" s="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60" t="s">
        <v>450</v>
      </c>
      <c r="V3" s="1061"/>
      <c r="W3" s="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400"/>
      <c r="C5" s="400"/>
      <c r="D5" s="400"/>
      <c r="E5" s="400"/>
      <c r="F5" s="401"/>
      <c r="G5" s="401"/>
      <c r="H5" s="401"/>
      <c r="I5" s="401"/>
      <c r="J5" s="401"/>
      <c r="K5" s="401"/>
      <c r="L5" s="401"/>
      <c r="M5" s="401"/>
      <c r="N5" s="401"/>
      <c r="O5" s="401"/>
      <c r="P5" s="401"/>
      <c r="Q5" s="401"/>
      <c r="W5" s="6"/>
      <c r="X5" s="6"/>
    </row>
    <row r="6" spans="1:72" ht="15.5" x14ac:dyDescent="0.35">
      <c r="A6" s="1030" t="s">
        <v>3</v>
      </c>
      <c r="B6" s="1030"/>
      <c r="C6" s="1030"/>
      <c r="D6" s="1030"/>
      <c r="E6" s="82"/>
      <c r="F6" s="1069" t="str">
        <f>[9]IdentificaciónRiesgos!B2</f>
        <v>Servicios - Acreditación de laboratorios</v>
      </c>
      <c r="G6" s="1070"/>
      <c r="H6" s="1070"/>
      <c r="I6" s="1070"/>
      <c r="J6" s="1070"/>
      <c r="K6" s="1070"/>
      <c r="L6" s="1070"/>
      <c r="M6" s="1070"/>
      <c r="N6" s="1070"/>
      <c r="O6" s="1070"/>
      <c r="P6" s="1070"/>
      <c r="Q6" s="1070"/>
      <c r="R6" s="1070"/>
      <c r="S6" s="1070"/>
      <c r="T6" s="1070"/>
      <c r="U6" s="1070"/>
      <c r="V6" s="1071"/>
      <c r="W6" s="6"/>
      <c r="X6" s="6"/>
    </row>
    <row r="7" spans="1:72" ht="6.75" customHeight="1" x14ac:dyDescent="0.35">
      <c r="B7" s="400"/>
      <c r="C7" s="400"/>
      <c r="D7" s="400"/>
      <c r="E7" s="400"/>
      <c r="F7" s="405"/>
      <c r="G7" s="405"/>
      <c r="H7" s="405"/>
      <c r="I7" s="405"/>
      <c r="J7" s="405"/>
      <c r="K7" s="405"/>
      <c r="L7" s="405"/>
      <c r="M7" s="405"/>
      <c r="N7" s="405"/>
      <c r="O7" s="405"/>
      <c r="P7" s="405"/>
      <c r="Q7" s="405"/>
      <c r="R7" s="8"/>
      <c r="S7" s="8"/>
      <c r="T7" s="8"/>
      <c r="U7" s="8"/>
      <c r="V7" s="8"/>
      <c r="W7" s="6"/>
      <c r="X7" s="6"/>
    </row>
    <row r="8" spans="1:72" ht="39.75" customHeight="1" x14ac:dyDescent="0.35">
      <c r="A8" s="1030" t="s">
        <v>4</v>
      </c>
      <c r="B8" s="1030"/>
      <c r="C8" s="1030"/>
      <c r="D8" s="1030"/>
      <c r="E8" s="82"/>
      <c r="F8" s="1047" t="str">
        <f>[8]IdentRiesgo!B3</f>
        <v>Satisfacer las necesidades y expectativas de los usuarios y dar respuesta pertinente, confiable y oportuna de los servicios relacionados con las actividades misionales del Instituto.</v>
      </c>
      <c r="G8" s="1048"/>
      <c r="H8" s="1048"/>
      <c r="I8" s="1048"/>
      <c r="J8" s="1048"/>
      <c r="K8" s="1048"/>
      <c r="L8" s="1048"/>
      <c r="M8" s="1048"/>
      <c r="N8" s="1048"/>
      <c r="O8" s="1048"/>
      <c r="P8" s="1048"/>
      <c r="Q8" s="1048"/>
      <c r="R8" s="1048"/>
      <c r="S8" s="1048"/>
      <c r="T8" s="1048"/>
      <c r="U8" s="1048"/>
      <c r="V8" s="1049"/>
      <c r="W8" s="9"/>
      <c r="X8" s="9"/>
    </row>
    <row r="9" spans="1:72" ht="6.75" customHeight="1" x14ac:dyDescent="0.35">
      <c r="B9" s="403"/>
      <c r="C9" s="403"/>
      <c r="D9" s="403"/>
      <c r="E9" s="403"/>
      <c r="F9" s="406"/>
      <c r="G9" s="406"/>
      <c r="H9" s="406"/>
      <c r="I9" s="406"/>
      <c r="J9" s="406"/>
      <c r="K9" s="406"/>
      <c r="L9" s="406"/>
      <c r="M9" s="406"/>
      <c r="N9" s="406"/>
      <c r="O9" s="406"/>
      <c r="P9" s="406"/>
      <c r="Q9" s="406"/>
      <c r="R9" s="8"/>
      <c r="S9" s="8"/>
      <c r="T9" s="8"/>
      <c r="U9" s="8"/>
      <c r="V9" s="8"/>
      <c r="W9" s="6"/>
      <c r="X9" s="6"/>
    </row>
    <row r="10" spans="1:72" ht="15.5" x14ac:dyDescent="0.35">
      <c r="A10" s="1030" t="s">
        <v>5</v>
      </c>
      <c r="B10" s="1030"/>
      <c r="C10" s="1030"/>
      <c r="D10" s="1030"/>
      <c r="E10" s="82"/>
      <c r="F10" s="1072" t="s">
        <v>513</v>
      </c>
      <c r="G10" s="1073"/>
      <c r="H10" s="1073"/>
      <c r="I10" s="1073"/>
      <c r="J10" s="1073"/>
      <c r="K10" s="1073"/>
      <c r="L10" s="1073"/>
      <c r="M10" s="1073"/>
      <c r="N10" s="1073"/>
      <c r="O10" s="1073"/>
      <c r="P10" s="1073"/>
      <c r="Q10" s="1073"/>
      <c r="R10" s="1073"/>
      <c r="S10" s="1073"/>
      <c r="T10" s="1073"/>
      <c r="U10" s="1073"/>
      <c r="V10" s="1074"/>
      <c r="W10" s="12"/>
      <c r="X10" s="12"/>
    </row>
    <row r="11" spans="1:72" ht="5.25" customHeight="1" x14ac:dyDescent="0.35">
      <c r="B11" s="400"/>
      <c r="C11" s="400"/>
      <c r="D11" s="400"/>
      <c r="E11" s="400"/>
      <c r="F11" s="425"/>
      <c r="G11" s="425"/>
      <c r="H11" s="425"/>
      <c r="I11" s="425"/>
      <c r="J11" s="425"/>
      <c r="K11" s="425"/>
      <c r="L11" s="425"/>
      <c r="M11" s="425"/>
      <c r="N11" s="425"/>
      <c r="O11" s="425"/>
      <c r="P11" s="425"/>
      <c r="Q11" s="425"/>
      <c r="R11" s="8"/>
      <c r="S11" s="8"/>
      <c r="T11" s="8"/>
      <c r="U11" s="8"/>
      <c r="V11" s="8"/>
      <c r="W11" s="6"/>
      <c r="X11" s="6"/>
    </row>
    <row r="12" spans="1:72" ht="15.5" x14ac:dyDescent="0.35">
      <c r="A12" s="1030" t="s">
        <v>6</v>
      </c>
      <c r="B12" s="1030"/>
      <c r="C12" s="1030"/>
      <c r="D12" s="1030"/>
      <c r="E12" s="82"/>
      <c r="F12" s="1062">
        <f ca="1">NOW()</f>
        <v>43000.497892013889</v>
      </c>
      <c r="G12" s="1063"/>
      <c r="H12" s="1063"/>
      <c r="I12" s="1063"/>
      <c r="J12" s="1063"/>
      <c r="K12" s="1063"/>
      <c r="L12" s="1063"/>
      <c r="M12" s="1063"/>
      <c r="N12" s="1063"/>
      <c r="O12" s="1063"/>
      <c r="P12" s="1063"/>
      <c r="Q12" s="1063"/>
      <c r="R12" s="1063"/>
      <c r="S12" s="1063"/>
      <c r="T12" s="1063"/>
      <c r="U12" s="1063"/>
      <c r="V12" s="1064"/>
      <c r="W12" s="12"/>
      <c r="X12" s="12"/>
      <c r="AA12" s="399" t="s">
        <v>7</v>
      </c>
    </row>
    <row r="13" spans="1:72" ht="14.5" thickBot="1" x14ac:dyDescent="0.4">
      <c r="B13" s="400"/>
      <c r="C13" s="400"/>
      <c r="D13" s="400"/>
      <c r="E13" s="400"/>
      <c r="F13" s="407"/>
      <c r="G13" s="407"/>
      <c r="H13" s="404"/>
      <c r="I13" s="404"/>
      <c r="J13" s="404"/>
      <c r="K13" s="405"/>
      <c r="L13" s="404"/>
      <c r="M13" s="405"/>
      <c r="N13" s="405"/>
      <c r="O13" s="405"/>
      <c r="P13" s="405"/>
      <c r="Q13" s="405"/>
      <c r="R13" s="405"/>
      <c r="S13" s="404"/>
      <c r="T13" s="405"/>
      <c r="W13" s="6"/>
      <c r="X13" s="6"/>
      <c r="AA13" s="399"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6"/>
      <c r="E14" s="83"/>
      <c r="F14" s="1038" t="s">
        <v>12</v>
      </c>
      <c r="G14" s="1038"/>
      <c r="H14" s="1038"/>
      <c r="I14" s="420"/>
      <c r="J14" s="420"/>
      <c r="K14" s="1039" t="s">
        <v>13</v>
      </c>
      <c r="L14" s="1035" t="s">
        <v>14</v>
      </c>
      <c r="M14" s="1036"/>
      <c r="N14" s="1037"/>
      <c r="O14" s="697"/>
      <c r="P14" s="1042" t="s">
        <v>15</v>
      </c>
      <c r="Q14" s="1042"/>
      <c r="R14" s="1042"/>
      <c r="S14" s="1042" t="s">
        <v>16</v>
      </c>
      <c r="T14" s="1042"/>
      <c r="U14" s="1042"/>
      <c r="V14" s="1042"/>
    </row>
    <row r="15" spans="1:72" s="17" customFormat="1" ht="14.25" customHeight="1" x14ac:dyDescent="0.35">
      <c r="A15" s="1040" t="s">
        <v>17</v>
      </c>
      <c r="B15" s="1040" t="s">
        <v>18</v>
      </c>
      <c r="C15" s="698"/>
      <c r="D15" s="698"/>
      <c r="E15" s="698"/>
      <c r="F15" s="1018" t="s">
        <v>20</v>
      </c>
      <c r="G15" s="1018"/>
      <c r="H15" s="1018"/>
      <c r="I15" s="700"/>
      <c r="J15" s="700"/>
      <c r="K15" s="1040"/>
      <c r="L15" s="1023" t="s">
        <v>21</v>
      </c>
      <c r="M15" s="1024"/>
      <c r="N15" s="1025"/>
      <c r="O15" s="701"/>
      <c r="P15" s="1023" t="s">
        <v>22</v>
      </c>
      <c r="Q15" s="1024"/>
      <c r="R15" s="1025"/>
      <c r="S15" s="1018" t="s">
        <v>23</v>
      </c>
      <c r="T15" s="1018" t="s">
        <v>24</v>
      </c>
      <c r="U15" s="1023" t="s">
        <v>5</v>
      </c>
      <c r="V15" s="1018" t="s">
        <v>25</v>
      </c>
    </row>
    <row r="16" spans="1:72" s="17" customFormat="1" ht="63" customHeight="1" thickBot="1" x14ac:dyDescent="0.4">
      <c r="A16" s="1043"/>
      <c r="B16" s="1043"/>
      <c r="C16" s="699" t="s">
        <v>96</v>
      </c>
      <c r="D16" s="699" t="s">
        <v>19</v>
      </c>
      <c r="E16" s="699" t="s">
        <v>97</v>
      </c>
      <c r="F16" s="700" t="s">
        <v>26</v>
      </c>
      <c r="G16" s="700" t="s">
        <v>96</v>
      </c>
      <c r="H16" s="700" t="s">
        <v>10</v>
      </c>
      <c r="I16" s="700" t="s">
        <v>96</v>
      </c>
      <c r="J16" s="700" t="s">
        <v>27</v>
      </c>
      <c r="K16" s="1041"/>
      <c r="L16" s="19" t="s">
        <v>26</v>
      </c>
      <c r="M16" s="19" t="s">
        <v>10</v>
      </c>
      <c r="N16" s="699" t="s">
        <v>27</v>
      </c>
      <c r="O16" s="699" t="s">
        <v>100</v>
      </c>
      <c r="P16" s="700" t="s">
        <v>28</v>
      </c>
      <c r="Q16" s="700" t="s">
        <v>24</v>
      </c>
      <c r="R16" s="700" t="s">
        <v>29</v>
      </c>
      <c r="S16" s="1018"/>
      <c r="T16" s="1018"/>
      <c r="U16" s="1023"/>
      <c r="V16" s="1018"/>
    </row>
    <row r="17" spans="1:70" ht="211.5" customHeight="1" x14ac:dyDescent="0.35">
      <c r="A17" s="408" t="s">
        <v>305</v>
      </c>
      <c r="B17" s="408" t="s">
        <v>306</v>
      </c>
      <c r="C17" s="408" t="s">
        <v>307</v>
      </c>
      <c r="D17" s="408" t="s">
        <v>308</v>
      </c>
      <c r="E17" s="408" t="s">
        <v>309</v>
      </c>
      <c r="F17" s="548">
        <v>5</v>
      </c>
      <c r="G17" s="548" t="s">
        <v>310</v>
      </c>
      <c r="H17" s="548">
        <v>3</v>
      </c>
      <c r="I17" s="548" t="s">
        <v>117</v>
      </c>
      <c r="J17" s="548" t="s">
        <v>53</v>
      </c>
      <c r="K17" s="567" t="s">
        <v>311</v>
      </c>
      <c r="L17" s="1065" t="s">
        <v>10</v>
      </c>
      <c r="M17" s="1066"/>
      <c r="N17" s="689" t="s">
        <v>51</v>
      </c>
      <c r="O17" s="690" t="s">
        <v>110</v>
      </c>
      <c r="P17" s="730" t="s">
        <v>312</v>
      </c>
      <c r="Q17" s="890" t="s">
        <v>514</v>
      </c>
      <c r="R17" s="1005" t="s">
        <v>626</v>
      </c>
      <c r="S17" s="787">
        <v>42947</v>
      </c>
      <c r="T17" s="880" t="s">
        <v>515</v>
      </c>
      <c r="U17" s="696" t="s">
        <v>313</v>
      </c>
      <c r="V17" s="728" t="s">
        <v>314</v>
      </c>
      <c r="X17" s="409" t="str">
        <f>IF(AND(F17=1,H17=5),$H$25,IF(AND(F17=1,H17=10),$J$25,IF(AND(F17=1,H17=20),$K$25," ")))</f>
        <v xml:space="preserve"> </v>
      </c>
      <c r="Y17" s="409" t="str">
        <f>IF(AND(F17=2,H17=5),$H$26,IF(AND(F17=2,H17=10),$J$26,IF(AND(F17=2,H17=20),$K$26," ")))</f>
        <v xml:space="preserve"> </v>
      </c>
      <c r="Z17" s="409" t="str">
        <f>IF(AND(F17=3,H17=5),$H$27,IF(AND(F17=3,H17=10),$J$27,IF(AND(F17=3,H17=20),$K$27," ")))</f>
        <v xml:space="preserve"> </v>
      </c>
      <c r="AA17" s="409" t="str">
        <f>IF(AND(F17=4,H17=5),$H$28,IF(AND(F17=4,H17=10),$J$28,IF(AND(F17=4,H17=20),$K$28," ")))</f>
        <v xml:space="preserve"> </v>
      </c>
      <c r="AB17" s="409" t="str">
        <f>IF(AND(F17=5,H17=5),$H$29,IF(AND(F17=5,H17=10),$J$29,IF(AND(F17=5,H17=20),$K$29," ")))</f>
        <v xml:space="preserve"> </v>
      </c>
      <c r="AD17" s="29" t="s">
        <v>31</v>
      </c>
      <c r="AE17" s="409" t="str">
        <f>IF(AND(L17&gt;0,[8]EvaluaciónRiesgoCorrup!$F$11&gt;75,F17=1,H17=5),$H$25,IF(AND(L17&gt;0,[8]EvaluaciónRiesgoCorrup!$F$11&gt;75,F17=1,H17=10),$J$25,IF(AND(L17&gt;0,[8]EvaluaciónRiesgoCorrup!$F$11&gt;75,F17=1,H17=20),$K$25," ")))</f>
        <v xml:space="preserve"> </v>
      </c>
      <c r="AF17" s="409" t="str">
        <f>IF(AND(L17&gt;0,[8]EvaluaciónRiesgoCorrup!$F$11&gt;75,F17=2,H17=5),$H$25,IF(AND(L17&gt;0,[8]EvaluaciónRiesgoCorrup!$F$11&gt;75,F17=2,H17=10),$J$25,IF(AND(L17&gt;0,[8]EvaluaciónRiesgoCorrup!$F$11&gt;75,F17=2,H17=20),$K$25," ")))</f>
        <v xml:space="preserve"> </v>
      </c>
      <c r="AG17" s="409" t="str">
        <f>IF(AND(L17&gt;0,[8]EvaluaciónRiesgoCorrup!$F$11&gt;75,F17=3,H17=5),$H$25,IF(AND(L17&gt;0,[8]EvaluaciónRiesgoCorrup!$F$11&gt;75,F17=3,H17=10),$J$25,IF(AND(L17&gt;0,[8]EvaluaciónRiesgoCorrup!$F$11&gt;75,F17=3,H17=20),$K$25," ")))</f>
        <v xml:space="preserve"> </v>
      </c>
      <c r="AH17" s="409" t="str">
        <f>IF(AND(L17&gt;0,[8]EvaluaciónRiesgoCorrup!$F$11&gt;75,F17=4,H17=5),$H$26,IF(AND(L17&gt;0,[8]EvaluaciónRiesgoCorrup!$F$11&gt;75,F17=4,H17=10),$J$26,IF(AND(L17&gt;0,[8]EvaluaciónRiesgoCorrup!$F$11&gt;75,F17=4,H17=20),$K$26," ")))</f>
        <v xml:space="preserve"> </v>
      </c>
      <c r="AI17" s="409" t="str">
        <f>IF(AND(L17&gt;0,[8]EvaluaciónRiesgoCorrup!$F$11&gt;75,F17=5,H17=5),$H$27,IF(AND(L17&gt;0,[8]EvaluaciónRiesgoCorrup!$F$11&gt;75,F17=5,H17=10),$J$27,IF(AND(L17&gt;0,[8]EvaluaciónRiesgoCorrup!$F$11&gt;75,F17=5,H17=20),$K$27," ")))</f>
        <v xml:space="preserve"> </v>
      </c>
      <c r="AJ17" s="29" t="s">
        <v>32</v>
      </c>
      <c r="AK17" s="409" t="str">
        <f>IF(AND(L17&gt;0,[8]EvaluaciónRiesgoCorrup!$F$11&gt;50,[8]EvaluaciónRiesgoCorrup!$F$11&lt;76,F17=1,H17=5),$H$25,IF(AND(L17&gt;0,[8]EvaluaciónRiesgoCorrup!$F$11&gt;50,[8]EvaluaciónRiesgoCorrup!$F$11&lt;76,F17=1,H17=10),$J$25,IF(AND(L17&gt;0,[8]EvaluaciónRiesgoCorrup!$F$11&gt;50,[8]EvaluaciónRiesgoCorrup!$F$11&lt;76,F17=1,H17=20),$K$25," ")))</f>
        <v xml:space="preserve"> </v>
      </c>
      <c r="AL17" s="409" t="str">
        <f>IF(AND(L17&gt;0,[8]EvaluaciónRiesgoCorrup!$F$11&gt;50,[8]EvaluaciónRiesgoCorrup!$F$11&lt;76,F17=2,H17=5),$H$25,IF(AND(L17&gt;0,[8]EvaluaciónRiesgoCorrup!$F$11&gt;50,[8]EvaluaciónRiesgoCorrup!$F$11&lt;76,F17=2,H17=10),$J$25,IF(AND(L17&gt;0,[8]EvaluaciónRiesgoCorrup!$F$11&gt;50,[8]EvaluaciónRiesgoCorrup!$F$11&lt;76,F17=2,H17=20),$K$25," ")))</f>
        <v xml:space="preserve"> </v>
      </c>
      <c r="AM17" s="409" t="str">
        <f>IF(AND(L17&gt;0,[8]EvaluaciónRiesgoCorrup!$F$11&gt;50,[8]EvaluaciónRiesgoCorrup!$F$11&lt;76,F17=3,H17=5),$H$26,IF(AND(L17&gt;0,[8]EvaluaciónRiesgoCorrup!$F$11&gt;50,[8]EvaluaciónRiesgoCorrup!$F$11&lt;76,F17=3,H17=10),$J$26,IF(AND(L17&gt;0,[8]EvaluaciónRiesgoCorrup!$F$11&gt;50,[8]EvaluaciónRiesgoCorrup!$F$11&lt;76,F17=3,H17=20),$K$26," ")))</f>
        <v xml:space="preserve"> </v>
      </c>
      <c r="AN17" s="409" t="str">
        <f>IF(AND(L17&gt;0,[8]EvaluaciónRiesgoCorrup!$F$11&gt;50,[8]EvaluaciónRiesgoCorrup!$F$11&lt;76,F17=4,H17=5),$H$27,IF(AND(L17&gt;0,[8]EvaluaciónRiesgoCorrup!$F$11&gt;50,[8]EvaluaciónRiesgoCorrup!$F$11&lt;76,F17=4,H17=10),$J$27,IF(AND(L17&gt;0,[8]EvaluaciónRiesgoCorrup!$F$11&gt;50,[8]EvaluaciónRiesgoCorrup!$F$11&lt;76,F17=4,H17=20),$K$27," ")))</f>
        <v xml:space="preserve"> </v>
      </c>
      <c r="AO17" s="409" t="str">
        <f>IF(AND(L17&gt;0,[8]EvaluaciónRiesgoCorrup!$F$11&gt;50,[8]EvaluaciónRiesgoCorrup!$F$11&lt;76,F17=5,H17=5),$H$28,IF(AND(L17&gt;0,[8]EvaluaciónRiesgoCorrup!$F$11&gt;50,[8]EvaluaciónRiesgoCorrup!$F$11&lt;76,F17=5,H17=10),$J$28,IF(AND(L17&gt;0,[8]EvaluaciónRiesgoCorrup!$F$11&gt;50,[8]EvaluaciónRiesgoCorrup!$F$11&lt;76,F17=5,H17=20),$K$28," ")))</f>
        <v xml:space="preserve"> </v>
      </c>
      <c r="AQ17" s="29" t="s">
        <v>33</v>
      </c>
      <c r="AR17" s="409" t="str">
        <f>IF(AND(L17&gt;0,[8]EvaluaciónRiesgoCorrup!$F$11&lt;51,F17=1,H17=5),$H$25,IF(AND(L17&gt;0,[8]EvaluaciónRiesgoCorrup!$F$11&lt;51,F17=1,H17=10),$J$25,IF(AND(L17&gt;0,[8]EvaluaciónRiesgoCorrup!$F$11&lt;51,F17=1,H17=20),K$25," ")))</f>
        <v xml:space="preserve"> </v>
      </c>
      <c r="AS17" s="409" t="str">
        <f>IF(AND(L17&gt;0,[8]EvaluaciónRiesgoCorrup!$F$11&lt;51,F17=2,H17=5),$H$26,IF(AND(L17&gt;0,[8]EvaluaciónRiesgoCorrup!$F$11&lt;51,F17=2,H17=10),$J$26,IF(AND(L17&gt;0,[8]EvaluaciónRiesgoCorrup!$F$11&lt;51,F17=2,H17=20),K$26," ")))</f>
        <v xml:space="preserve"> </v>
      </c>
      <c r="AT17" s="409" t="str">
        <f>IF(AND(L17&gt;0,[8]EvaluaciónRiesgoCorrup!$F$11&lt;51,F17=3,H17=5),$H$27,IF(AND(L17&gt;0,[8]EvaluaciónRiesgoCorrup!$F$11&lt;51,F17=3,H17=10),$J$27,IF(AND(L17&gt;0,[8]EvaluaciónRiesgoCorrup!$F$11&lt;51,F17=3,H17=20),K$27," ")))</f>
        <v xml:space="preserve"> </v>
      </c>
      <c r="AU17" s="409" t="str">
        <f>IF(AND(L17&gt;0,[8]EvaluaciónRiesgoCorrup!$F$11&lt;51,F17=4,H17=5),$H$28,IF(AND(L17&gt;0,[8]EvaluaciónRiesgoCorrup!$F$11&lt;51,F17=4,H17=10),$J$28,IF(AND(L17&gt;0,[8]EvaluaciónRiesgoCorrup!$F$11&lt;51,F17=4,H17=20),K$28," ")))</f>
        <v xml:space="preserve"> </v>
      </c>
      <c r="AV17" s="409" t="str">
        <f>IF(AND(L17&gt;0,[8]EvaluaciónRiesgoCorrup!$F$11&lt;51,F17=5,H17=5),$H$29,IF(AND(L17&gt;0,[8]EvaluaciónRiesgoCorrup!$F$11&lt;51,F17=5,H17=10),$J$29,IF(AND(L17&gt;0,[8]EvaluaciónRiesgoCorrup!$F$11&lt;51,F17=5,H17=20),K$29," ")))</f>
        <v xml:space="preserve"> </v>
      </c>
      <c r="AY17" s="29" t="s">
        <v>31</v>
      </c>
      <c r="AZ17" s="409" t="str">
        <f>IF(AND(M17&gt;0,[8]EvaluaciónRiesgoCorrup!$F$11&gt;75,F17=1,H17=5),$H$25,IF(AND(M17&gt;0,[8]EvaluaciónRiesgoCorrup!$F$11&gt;75,F17=1,H17=10),$H$25,IF(AND(M17&gt;0,[8]EvaluaciónRiesgoCorrup!$F$11&gt;75,F17=1,H17=20),$H$25," ")))</f>
        <v xml:space="preserve"> </v>
      </c>
      <c r="BA17" s="409" t="str">
        <f>IF(AND(M17&gt;0,[8]EvaluaciónRiesgoCorrup!$F$11&gt;75,F17=2,H17=5),$H$26,IF(AND(M17&gt;0,[8]EvaluaciónRiesgoCorrup!$F$11&gt;75,F17=2,H17=10),$H$26,IF(AND(M17&gt;0,[8]EvaluaciónRiesgoCorrup!$F$11&gt;75,F17=2,H17=20),$H$26," ")))</f>
        <v xml:space="preserve"> </v>
      </c>
      <c r="BB17" s="409" t="str">
        <f>IF(AND(M17&gt;0,[8]EvaluaciónRiesgoCorrup!$F$11&gt;75,F17=3,H17=5),$H$27,IF(AND(M17&gt;0,[8]EvaluaciónRiesgoCorrup!$F$11&gt;75,F17=3,H17=10),$H$27,IF(AND(M17&gt;0,[8]EvaluaciónRiesgoCorrup!$F$11&gt;75,F17=3,H17=20),$H$27," ")))</f>
        <v xml:space="preserve"> </v>
      </c>
      <c r="BC17" s="409" t="str">
        <f>IF(AND(M17&gt;0,[8]EvaluaciónRiesgoCorrup!$F$11&gt;75,F17=4,H17=5),$H$28,IF(AND(M17&gt;0,[8]EvaluaciónRiesgoCorrup!$F$11&gt;75,F17=4,H17=10),$H$28,IF(AND(M17&gt;0,[8]EvaluaciónRiesgoCorrup!$F$11&gt;75,F17=4,H17=20),$H$28," ")))</f>
        <v xml:space="preserve"> </v>
      </c>
      <c r="BD17" s="409" t="str">
        <f>IF(AND(M17&gt;0,[8]EvaluaciónRiesgoCorrup!$F$11&gt;75,F17=5,H17=5),$H$29,IF(AND(M17&gt;0,[8]EvaluaciónRiesgoCorrup!$F$11&gt;75,F17=5,H17=10),$H$29,IF(AND(M17&gt;0,[8]EvaluaciónRiesgoCorrup!$F$11&gt;75,F17=5,H17=20),$H$29," ")))</f>
        <v xml:space="preserve"> </v>
      </c>
      <c r="BF17" s="29" t="s">
        <v>32</v>
      </c>
      <c r="BG17" s="409" t="str">
        <f>IF(AND(M17&gt;0,[8]EvaluaciónRiesgoCorrup!$F$11&gt;50,[8]EvaluaciónRiesgoCorrup!$F$11&lt;76,F17=1,H17=5),$H$25,IF(AND(M17&gt;0,[8]EvaluaciónRiesgoCorrup!$F$11&gt;50,[8]EvaluaciónRiesgoCorrup!$F$11&lt;76,F17=1,H17=10),$H$25,IF(AND(M17&gt;0,[8]EvaluaciónRiesgoCorrup!$F$11&gt;50,[8]EvaluaciónRiesgoCorrup!$F$11&lt;76,F17=1,H17=20),$J$25," ")))</f>
        <v xml:space="preserve"> </v>
      </c>
      <c r="BH17" s="409" t="str">
        <f>IF(AND(M17&gt;0,[8]EvaluaciónRiesgoCorrup!$F$11&gt;50,[8]EvaluaciónRiesgoCorrup!$F$11&lt;76,F17=2,H17=5),$H$26,IF(AND(M17&gt;0,[8]EvaluaciónRiesgoCorrup!$F$11&gt;50,[8]EvaluaciónRiesgoCorrup!$F$11&lt;76,F17=2,H17=10),$H$26,IF(AND(M17&gt;0,[8]EvaluaciónRiesgoCorrup!$F$11&gt;50,[8]EvaluaciónRiesgoCorrup!$F$11&lt;76,F17=2,H17=20),$J$26," ")))</f>
        <v xml:space="preserve"> </v>
      </c>
      <c r="BI17" s="409" t="str">
        <f>IF(AND(M17&gt;0,[8]EvaluaciónRiesgoCorrup!$F$11&gt;50,[8]EvaluaciónRiesgoCorrup!$F$11&lt;76,F17=3,H17=5),$H$27,IF(AND(M17&gt;0,[8]EvaluaciónRiesgoCorrup!$F$11&gt;50,[8]EvaluaciónRiesgoCorrup!$F$11&lt;76,F17=3,H17=10),$H$27,IF(AND(M17&gt;0,[8]EvaluaciónRiesgoCorrup!$F$11&gt;50,[8]EvaluaciónRiesgoCorrup!$F$11&lt;76,F17=3,H17=20),$J$27," ")))</f>
        <v xml:space="preserve"> </v>
      </c>
      <c r="BJ17" s="409" t="str">
        <f>IF(AND(M17&gt;0,[8]EvaluaciónRiesgoCorrup!$F$11&gt;50,[8]EvaluaciónRiesgoCorrup!$F$11&lt;76,F17=4,H17=5),$H$28,IF(AND(M17&gt;0,[8]EvaluaciónRiesgoCorrup!$F$11&gt;50,[8]EvaluaciónRiesgoCorrup!$F$11&lt;76,F17=4,H17=10),$H$28,IF(AND(M17&gt;0,[8]EvaluaciónRiesgoCorrup!$F$11&gt;50,[8]EvaluaciónRiesgoCorrup!$F$11&lt;76,F17=4,H17=20),$J$28," ")))</f>
        <v xml:space="preserve"> </v>
      </c>
      <c r="BK17" s="409" t="str">
        <f>IF(AND(M17&gt;0,[8]EvaluaciónRiesgoCorrup!$F$11&gt;50,[8]EvaluaciónRiesgoCorrup!$F$11&lt;76,F17=5,H17=5),$H$29,IF(AND(M17&gt;0,[8]EvaluaciónRiesgoCorrup!$F$11&gt;50,[8]EvaluaciónRiesgoCorrup!$F$11&lt;76,F17=5,H17=10),$H$29,IF(AND(M17&gt;0,[8]EvaluaciónRiesgoCorrup!$F$11&gt;50,[8]EvaluaciónRiesgoCorrup!$F$11&lt;76,F17=5,H17=20),$J$29," ")))</f>
        <v xml:space="preserve"> </v>
      </c>
      <c r="BM17" s="29" t="s">
        <v>33</v>
      </c>
      <c r="BN17" s="409" t="str">
        <f>IF(AND(M17&gt;0,[8]EvaluaciónRiesgoCorrup!$F$11&lt;51,F17=1,H17=5),$H$25,IF(AND(M17&gt;0,[8]EvaluaciónRiesgoCorrup!$F$11&lt;51,F17=1,H17=10),$J$25,IF(AND(M17&gt;0,[8]EvaluaciónRiesgoCorrup!$F$11&lt;51,F17=1,H17=20),$K$25," ")))</f>
        <v xml:space="preserve"> </v>
      </c>
      <c r="BO17" s="409" t="str">
        <f>IF(AND(M17&gt;0,[8]EvaluaciónRiesgoCorrup!$F$11&lt;51,F17=2,H17=5),$H$26,IF(AND(M17&gt;0,[8]EvaluaciónRiesgoCorrup!$F$11&lt;51,F17=2,H17=10),$J$26,IF(AND(M17&gt;0,[8]EvaluaciónRiesgoCorrup!$F$11&lt;51,F17=2,H17=20),$K$26," ")))</f>
        <v xml:space="preserve"> </v>
      </c>
      <c r="BP17" s="409" t="str">
        <f>IF(AND(M17&gt;0,[8]EvaluaciónRiesgoCorrup!$F$11&lt;51,F17=3,H17=5),$H$27,IF(AND(M17&gt;0,[8]EvaluaciónRiesgoCorrup!$F$11&lt;51,F17=3,H17=10),$J$27,IF(AND(M17&gt;0,[8]EvaluaciónRiesgoCorrup!$F$11&lt;51,F17=3,H17=20),$K$27," ")))</f>
        <v xml:space="preserve"> </v>
      </c>
      <c r="BQ17" s="409" t="str">
        <f>IF(AND(M17&gt;0,[8]EvaluaciónRiesgoCorrup!$F$11&lt;51,F17=4,H17=5),$H$28,IF(AND(M17&gt;0,[8]EvaluaciónRiesgoCorrup!$F$11&lt;51,F17=4,H17=10),$J$28,IF(AND(M17&gt;0,[8]EvaluaciónRiesgoCorrup!$F$11&lt;51,F17=4,H17=20),$K$28," ")))</f>
        <v xml:space="preserve"> </v>
      </c>
      <c r="BR17" s="409" t="str">
        <f>IF(AND(M17&gt;0,[8]EvaluaciónRiesgoCorrup!$F$11&lt;51,F17=5,H17=5),$H$29,IF(AND(M17&gt;0,[8]EvaluaciónRiesgoCorrup!$F$11&lt;51,F17=5,H17=10),$J$29,IF(AND(M17&gt;0,[8]EvaluaciónRiesgoCorrup!$F$11&lt;51,F17=5,H17=20),$K$29," ")))</f>
        <v xml:space="preserve"> </v>
      </c>
    </row>
    <row r="18" spans="1:70" ht="153.75" customHeight="1" x14ac:dyDescent="0.35">
      <c r="A18" s="661" t="s">
        <v>315</v>
      </c>
      <c r="B18" s="581" t="s">
        <v>316</v>
      </c>
      <c r="C18" s="661" t="s">
        <v>317</v>
      </c>
      <c r="D18" s="661" t="s">
        <v>318</v>
      </c>
      <c r="E18" s="682" t="s">
        <v>119</v>
      </c>
      <c r="F18" s="710">
        <v>4</v>
      </c>
      <c r="G18" s="710" t="s">
        <v>114</v>
      </c>
      <c r="H18" s="686">
        <v>20</v>
      </c>
      <c r="I18" s="686" t="s">
        <v>122</v>
      </c>
      <c r="J18" s="689" t="s">
        <v>53</v>
      </c>
      <c r="K18" s="580" t="s">
        <v>319</v>
      </c>
      <c r="L18" s="1065" t="s">
        <v>10</v>
      </c>
      <c r="M18" s="1066"/>
      <c r="N18" s="689" t="s">
        <v>53</v>
      </c>
      <c r="O18" s="690" t="s">
        <v>110</v>
      </c>
      <c r="P18" s="730" t="s">
        <v>320</v>
      </c>
      <c r="Q18" s="579" t="s">
        <v>321</v>
      </c>
      <c r="R18" s="1005" t="s">
        <v>627</v>
      </c>
      <c r="S18" s="936">
        <v>42947</v>
      </c>
      <c r="T18" s="880" t="s">
        <v>516</v>
      </c>
      <c r="U18" s="696" t="s">
        <v>322</v>
      </c>
      <c r="V18" s="743" t="s">
        <v>323</v>
      </c>
      <c r="X18" s="409" t="str">
        <f>IF(AND(F18=1,H18=5),$H$25,IF(AND(F18=1,H18=10),$J$25,IF(AND(F18=1,H18=20),$K$25," ")))</f>
        <v xml:space="preserve"> </v>
      </c>
      <c r="Y18" s="409" t="str">
        <f>IF(AND(F18=2,H18=5),$H$26,IF(AND(F18=2,H18=10),$J$26,IF(AND(F18=2,H18=20),$K$26," ")))</f>
        <v xml:space="preserve"> </v>
      </c>
      <c r="Z18" s="409" t="str">
        <f>IF(AND(F18=3,H18=5),$H$27,IF(AND(F18=3,H18=10),$J$27,IF(AND(F18=3,H18=20),$K$27," ")))</f>
        <v xml:space="preserve"> </v>
      </c>
      <c r="AA18" s="409" t="str">
        <f>IF(AND(F18=4,H18=5),$H$28,IF(AND(F18=4,H18=10),$J$28,IF(AND(F18=4,H18=20),$K$28," ")))</f>
        <v>E</v>
      </c>
      <c r="AB18" s="409" t="str">
        <f>IF(AND(F18=5,H18=5),$H$29,IF(AND(F18=5,H18=10),$J$29,IF(AND(F18=5,H18=20),$K$29," ")))</f>
        <v xml:space="preserve"> </v>
      </c>
      <c r="AE18" s="409" t="str">
        <f>IF(AND(L18&gt;0,[8]EvaluaciónRiesgoCorrup!$F$11&gt;75,F18=1,H18=5),$H$25,IF(AND(L18&gt;0,[8]EvaluaciónRiesgoCorrup!$F$11&gt;75,F18=1,H18=10),$J$25,IF(AND(L18&gt;0,[8]EvaluaciónRiesgoCorrup!$F$11&gt;75,F18=1,H18=20),$K$25," ")))</f>
        <v xml:space="preserve"> </v>
      </c>
      <c r="AF18" s="409" t="str">
        <f>IF(AND(L18&gt;0,[8]EvaluaciónRiesgoCorrup!$F$11&gt;75,F18=2,H18=5),$H$25,IF(AND(L18&gt;0,[8]EvaluaciónRiesgoCorrup!$F$11&gt;75,F18=2,H18=10),$J$25,IF(AND(L18&gt;0,[8]EvaluaciónRiesgoCorrup!$F$11&gt;75,F18=2,H18=20),$K$25," ")))</f>
        <v xml:space="preserve"> </v>
      </c>
      <c r="AG18" s="409" t="str">
        <f>IF(AND(L18&gt;0,[8]EvaluaciónRiesgoCorrup!$F$11&gt;75,F18=3,H18=5),$H$25,IF(AND(L18&gt;0,[8]EvaluaciónRiesgoCorrup!$F$11&gt;75,F18=3,H18=10),$J$25,IF(AND(L18&gt;0,[8]EvaluaciónRiesgoCorrup!$F$11&gt;75,F18=3,H18=20),$K$25," ")))</f>
        <v xml:space="preserve"> </v>
      </c>
      <c r="AH18" s="409" t="str">
        <f>IF(AND(L18&gt;0,[8]EvaluaciónRiesgoCorrup!$F$11&gt;75,F18=4,H18=5),$H$26,IF(AND(L18&gt;0,[8]EvaluaciónRiesgoCorrup!$F$11&gt;75,F18=4,H18=10),$J$26,IF(AND(L18&gt;0,[8]EvaluaciónRiesgoCorrup!$F$11&gt;75,F18=4,H18=20),$K$26," ")))</f>
        <v>A</v>
      </c>
      <c r="AI18" s="409" t="str">
        <f>IF(AND(L18&gt;0,[8]EvaluaciónRiesgoCorrup!$F$11&gt;75,F18=5,H18=5),$H$27,IF(AND(L18&gt;0,[8]EvaluaciónRiesgoCorrup!$F$11&gt;75,F18=5,H18=10),$J$27,IF(AND(L18&gt;0,[8]EvaluaciónRiesgoCorrup!$F$11&gt;75,F18=5,H18=20),$K$27," ")))</f>
        <v xml:space="preserve"> </v>
      </c>
      <c r="AK18" s="409" t="str">
        <f>IF(AND(L18&gt;0,[8]EvaluaciónRiesgoCorrup!$F$11&gt;50,[8]EvaluaciónRiesgoCorrup!$F$11&lt;76,F18=1,H18=5),$H$25,IF(AND(L18&gt;0,[8]EvaluaciónRiesgoCorrup!$F$11&gt;50,[8]EvaluaciónRiesgoCorrup!$F$11&lt;76,F18=1,H18=10),$J$25,IF(AND(L18&gt;0,[8]EvaluaciónRiesgoCorrup!$F$11&gt;50,[8]EvaluaciónRiesgoCorrup!$F$11&lt;76,F18=1,H18=20),$K$25," ")))</f>
        <v xml:space="preserve"> </v>
      </c>
      <c r="AL18" s="409" t="str">
        <f>IF(AND(L18&gt;0,[8]EvaluaciónRiesgoCorrup!$F$11&gt;50,[8]EvaluaciónRiesgoCorrup!$F$11&lt;76,F18=2,H18=5),$H$25,IF(AND(L18&gt;0,[8]EvaluaciónRiesgoCorrup!$F$11&gt;50,[8]EvaluaciónRiesgoCorrup!$F$11&lt;76,F18=2,H18=10),$J$25,IF(AND(L18&gt;0,[8]EvaluaciónRiesgoCorrup!$F$11&gt;50,[8]EvaluaciónRiesgoCorrup!$F$11&lt;76,F18=2,H18=20),$K$25," ")))</f>
        <v xml:space="preserve"> </v>
      </c>
      <c r="AM18" s="409" t="str">
        <f>IF(AND(L18&gt;0,[8]EvaluaciónRiesgoCorrup!$F$11&gt;50,[8]EvaluaciónRiesgoCorrup!$F$11&lt;76,F18=3,H18=5),$H$26,IF(AND(L18&gt;0,[8]EvaluaciónRiesgoCorrup!$F$11&gt;50,[8]EvaluaciónRiesgoCorrup!$F$11&lt;76,F18=3,H18=10),$J$26,IF(AND(L18&gt;0,[8]EvaluaciónRiesgoCorrup!$F$11&gt;50,[8]EvaluaciónRiesgoCorrup!$F$11&lt;76,F18=3,H18=20),$K$26," ")))</f>
        <v xml:space="preserve"> </v>
      </c>
      <c r="AN18" s="409" t="str">
        <f>IF(AND(L18&gt;0,[8]EvaluaciónRiesgoCorrup!$F$11&gt;50,[8]EvaluaciónRiesgoCorrup!$F$11&lt;76,F18=4,H18=5),$H$27,IF(AND(L18&gt;0,[8]EvaluaciónRiesgoCorrup!$F$11&gt;50,[8]EvaluaciónRiesgoCorrup!$F$11&lt;76,F18=4,H18=10),$J$27,IF(AND(L18&gt;0,[8]EvaluaciónRiesgoCorrup!$F$11&gt;50,[8]EvaluaciónRiesgoCorrup!$F$11&lt;76,F18=4,H18=20),$K$27," ")))</f>
        <v xml:space="preserve"> </v>
      </c>
      <c r="AO18" s="409" t="str">
        <f>IF(AND(L18&gt;0,[8]EvaluaciónRiesgoCorrup!$F$11&gt;50,[8]EvaluaciónRiesgoCorrup!$F$11&lt;76,F18=5,H18=5),$H$28,IF(AND(L18&gt;0,[8]EvaluaciónRiesgoCorrup!$F$11&gt;50,[8]EvaluaciónRiesgoCorrup!$F$11&lt;76,F18=5,H18=10),$J$28,IF(AND(L18&gt;0,[8]EvaluaciónRiesgoCorrup!$F$11&gt;50,[8]EvaluaciónRiesgoCorrup!$F$11&lt;76,F18=5,H18=20),$K$28," ")))</f>
        <v xml:space="preserve"> </v>
      </c>
      <c r="AR18" s="409" t="str">
        <f>IF(AND(L18&gt;0,[8]EvaluaciónRiesgoCorrup!$F$11&lt;51,F18=1,H18=5),$H$25,IF(AND(L18&gt;0,[8]EvaluaciónRiesgoCorrup!$F$11&lt;51,F18=1,H18=10),$J$25,IF(AND(L18&gt;0,[8]EvaluaciónRiesgoCorrup!$F$11&lt;51,F18=1,H18=20),K$25," ")))</f>
        <v xml:space="preserve"> </v>
      </c>
      <c r="AS18" s="409" t="str">
        <f>IF(AND(L18&gt;0,[8]EvaluaciónRiesgoCorrup!$F$11&lt;51,F18=2,H18=5),$H$26,IF(AND(L18&gt;0,[8]EvaluaciónRiesgoCorrup!$F$11&lt;51,F18=2,H18=10),$J$26,IF(AND(L18&gt;0,[8]EvaluaciónRiesgoCorrup!$F$11&lt;51,F18=2,H18=20),K$26," ")))</f>
        <v xml:space="preserve"> </v>
      </c>
      <c r="AT18" s="409" t="str">
        <f>IF(AND(L18&gt;0,[8]EvaluaciónRiesgoCorrup!$F$11&lt;51,F18=3,H18=5),$H$27,IF(AND(L18&gt;0,[8]EvaluaciónRiesgoCorrup!$F$11&lt;51,F18=3,H18=10),$J$27,IF(AND(L18&gt;0,[8]EvaluaciónRiesgoCorrup!$F$11&lt;51,F18=3,H18=20),K$27," ")))</f>
        <v xml:space="preserve"> </v>
      </c>
      <c r="AU18" s="409" t="str">
        <f>IF(AND(L18&gt;0,[8]EvaluaciónRiesgoCorrup!$F$11&lt;51,F18=4,H18=5),$H$28,IF(AND(L18&gt;0,[8]EvaluaciónRiesgoCorrup!$F$11&lt;51,F18=4,H18=10),$J$28,IF(AND(L18&gt;0,[8]EvaluaciónRiesgoCorrup!$F$11&lt;51,F18=4,H18=20),K$28," ")))</f>
        <v xml:space="preserve"> </v>
      </c>
      <c r="AV18" s="409" t="str">
        <f>IF(AND(L18&gt;0,[8]EvaluaciónRiesgoCorrup!$F$11&lt;51,F18=5,H18=5),$H$29,IF(AND(L18&gt;0,[8]EvaluaciónRiesgoCorrup!$F$11&lt;51,F18=5,H18=10),$J$29,IF(AND(L18&gt;0,[8]EvaluaciónRiesgoCorrup!$F$11&lt;51,F18=5,H18=20),K$29," ")))</f>
        <v xml:space="preserve"> </v>
      </c>
      <c r="AZ18" s="409" t="str">
        <f>IF(AND(M18&gt;0,[8]EvaluaciónRiesgoCorrup!$F$11&gt;75,F18=1,H18=5),$H$25,IF(AND(M18&gt;0,[8]EvaluaciónRiesgoCorrup!$F$11&gt;75,F18=1,H18=10),$H$25,IF(AND(M18&gt;0,[8]EvaluaciónRiesgoCorrup!$F$11&gt;75,F18=1,H18=20),$H$25," ")))</f>
        <v xml:space="preserve"> </v>
      </c>
      <c r="BA18" s="409" t="str">
        <f>IF(AND(M18&gt;0,[8]EvaluaciónRiesgoCorrup!$F$11&gt;75,F18=2,H18=5),$H$26,IF(AND(M18&gt;0,[8]EvaluaciónRiesgoCorrup!$F$11&gt;75,F18=2,H18=10),$H$26,IF(AND(M18&gt;0,[8]EvaluaciónRiesgoCorrup!$F$11&gt;75,F18=2,H18=20),$H$26," ")))</f>
        <v xml:space="preserve"> </v>
      </c>
      <c r="BB18" s="409" t="str">
        <f>IF(AND(M18&gt;0,[8]EvaluaciónRiesgoCorrup!$F$11&gt;75,F18=3,H18=5),$H$27,IF(AND(M18&gt;0,[8]EvaluaciónRiesgoCorrup!$F$11&gt;75,F18=3,H18=10),$H$27,IF(AND(M18&gt;0,[8]EvaluaciónRiesgoCorrup!$F$11&gt;75,F18=3,H18=20),$H$27," ")))</f>
        <v xml:space="preserve"> </v>
      </c>
      <c r="BC18" s="409" t="str">
        <f>IF(AND(M18&gt;0,[8]EvaluaciónRiesgoCorrup!$F$11&gt;75,F18=4,H18=5),$H$28,IF(AND(M18&gt;0,[8]EvaluaciónRiesgoCorrup!$F$11&gt;75,F18=4,H18=10),$H$28,IF(AND(M18&gt;0,[8]EvaluaciónRiesgoCorrup!$F$11&gt;75,F18=4,H18=20),$H$28," ")))</f>
        <v xml:space="preserve"> </v>
      </c>
      <c r="BD18" s="409" t="str">
        <f>IF(AND(M18&gt;0,[8]EvaluaciónRiesgoCorrup!$F$11&gt;75,F18=5,H18=5),$H$29,IF(AND(M18&gt;0,[8]EvaluaciónRiesgoCorrup!$F$11&gt;75,F18=5,H18=10),$H$29,IF(AND(M18&gt;0,[8]EvaluaciónRiesgoCorrup!$F$11&gt;75,F18=5,H18=20),$H$29," ")))</f>
        <v xml:space="preserve"> </v>
      </c>
      <c r="BG18" s="409" t="str">
        <f>IF(AND(M18&gt;0,[8]EvaluaciónRiesgoCorrup!$F$11&gt;50,[8]EvaluaciónRiesgoCorrup!$F$11&lt;76,F18=1,H18=5),$H$25,IF(AND(M18&gt;0,[8]EvaluaciónRiesgoCorrup!$F$11&gt;50,[8]EvaluaciónRiesgoCorrup!$F$11&lt;76,F18=1,H18=10),$H$25,IF(AND(M18&gt;0,[8]EvaluaciónRiesgoCorrup!$F$11&gt;50,[8]EvaluaciónRiesgoCorrup!$F$11&lt;76,F18=1,H18=20),$J$25," ")))</f>
        <v xml:space="preserve"> </v>
      </c>
      <c r="BH18" s="409" t="str">
        <f>IF(AND(M18&gt;0,[8]EvaluaciónRiesgoCorrup!$F$11&gt;50,[8]EvaluaciónRiesgoCorrup!$F$11&lt;76,F18=2,H18=5),$H$26,IF(AND(M18&gt;0,[8]EvaluaciónRiesgoCorrup!$F$11&gt;50,[8]EvaluaciónRiesgoCorrup!$F$11&lt;76,F18=2,H18=10),$H$26,IF(AND(M18&gt;0,[8]EvaluaciónRiesgoCorrup!$F$11&gt;50,[8]EvaluaciónRiesgoCorrup!$F$11&lt;76,F18=2,H18=20),$J$26," ")))</f>
        <v xml:space="preserve"> </v>
      </c>
      <c r="BI18" s="409" t="str">
        <f>IF(AND(M18&gt;0,[8]EvaluaciónRiesgoCorrup!$F$11&gt;50,[8]EvaluaciónRiesgoCorrup!$F$11&lt;76,F18=3,H18=5),$H$27,IF(AND(M18&gt;0,[8]EvaluaciónRiesgoCorrup!$F$11&gt;50,[8]EvaluaciónRiesgoCorrup!$F$11&lt;76,F18=3,H18=10),$H$27,IF(AND(M18&gt;0,[8]EvaluaciónRiesgoCorrup!$F$11&gt;50,[8]EvaluaciónRiesgoCorrup!$F$11&lt;76,F18=3,H18=20),$J$27," ")))</f>
        <v xml:space="preserve"> </v>
      </c>
      <c r="BJ18" s="409" t="str">
        <f>IF(AND(M18&gt;0,[8]EvaluaciónRiesgoCorrup!$F$11&gt;50,[8]EvaluaciónRiesgoCorrup!$F$11&lt;76,F18=4,H18=5),$H$28,IF(AND(M18&gt;0,[8]EvaluaciónRiesgoCorrup!$F$11&gt;50,[8]EvaluaciónRiesgoCorrup!$F$11&lt;76,F18=4,H18=10),$H$28,IF(AND(M18&gt;0,[8]EvaluaciónRiesgoCorrup!$F$11&gt;50,[8]EvaluaciónRiesgoCorrup!$F$11&lt;76,F18=4,H18=20),$J$28," ")))</f>
        <v xml:space="preserve"> </v>
      </c>
      <c r="BK18" s="409" t="str">
        <f>IF(AND(M18&gt;0,[8]EvaluaciónRiesgoCorrup!$F$11&gt;50,[8]EvaluaciónRiesgoCorrup!$F$11&lt;76,F18=5,H18=5),$H$29,IF(AND(M18&gt;0,[8]EvaluaciónRiesgoCorrup!$F$11&gt;50,[8]EvaluaciónRiesgoCorrup!$F$11&lt;76,F18=5,H18=10),$H$29,IF(AND(M18&gt;0,[8]EvaluaciónRiesgoCorrup!$F$11&gt;50,[8]EvaluaciónRiesgoCorrup!$F$11&lt;76,F18=5,H18=20),$J$29," ")))</f>
        <v xml:space="preserve"> </v>
      </c>
      <c r="BN18" s="409" t="str">
        <f>IF(AND(M18&gt;0,[8]EvaluaciónRiesgoCorrup!$F$11&lt;51,F18=1,H18=5),$H$25,IF(AND(M18&gt;0,[8]EvaluaciónRiesgoCorrup!$F$11&lt;51,F18=1,H18=10),$J$25,IF(AND(M18&gt;0,[8]EvaluaciónRiesgoCorrup!$F$11&lt;51,F18=1,H18=20),$K$25," ")))</f>
        <v xml:space="preserve"> </v>
      </c>
      <c r="BO18" s="409" t="str">
        <f>IF(AND(M18&gt;0,[8]EvaluaciónRiesgoCorrup!$F$11&lt;51,F18=2,H18=5),$H$26,IF(AND(M18&gt;0,[8]EvaluaciónRiesgoCorrup!$F$11&lt;51,F18=2,H18=10),$J$26,IF(AND(M18&gt;0,[8]EvaluaciónRiesgoCorrup!$F$11&lt;51,F18=2,H18=20),$K$26," ")))</f>
        <v xml:space="preserve"> </v>
      </c>
      <c r="BP18" s="409" t="str">
        <f>IF(AND(M18&gt;0,[8]EvaluaciónRiesgoCorrup!$F$11&lt;51,F18=3,H18=5),$H$27,IF(AND(M18&gt;0,[8]EvaluaciónRiesgoCorrup!$F$11&lt;51,F18=3,H18=10),$J$27,IF(AND(M18&gt;0,[8]EvaluaciónRiesgoCorrup!$F$11&lt;51,F18=3,H18=20),$K$27," ")))</f>
        <v xml:space="preserve"> </v>
      </c>
      <c r="BQ18" s="409" t="str">
        <f>IF(AND(M18&gt;0,[8]EvaluaciónRiesgoCorrup!$F$11&lt;51,F18=4,H18=5),$H$28,IF(AND(M18&gt;0,[8]EvaluaciónRiesgoCorrup!$F$11&lt;51,F18=4,H18=10),$J$28,IF(AND(M18&gt;0,[8]EvaluaciónRiesgoCorrup!$F$11&lt;51,F18=4,H18=20),$K$28," ")))</f>
        <v xml:space="preserve"> </v>
      </c>
      <c r="BR18" s="409" t="str">
        <f>IF(AND(M18&gt;0,[8]EvaluaciónRiesgoCorrup!$F$11&lt;51,F18=5,H18=5),$H$29,IF(AND(M18&gt;0,[8]EvaluaciónRiesgoCorrup!$F$11&lt;51,F18=5,H18=10),$J$29,IF(AND(M18&gt;0,[8]EvaluaciónRiesgoCorrup!$F$11&lt;51,F18=5,H18=20),$K$29," ")))</f>
        <v xml:space="preserve"> </v>
      </c>
    </row>
    <row r="19" spans="1:70" ht="153.75" customHeight="1" x14ac:dyDescent="0.35">
      <c r="A19" s="661" t="s">
        <v>324</v>
      </c>
      <c r="B19" s="581" t="s">
        <v>325</v>
      </c>
      <c r="C19" s="661" t="s">
        <v>326</v>
      </c>
      <c r="D19" s="661" t="s">
        <v>327</v>
      </c>
      <c r="E19" s="682" t="s">
        <v>106</v>
      </c>
      <c r="F19" s="710">
        <v>3</v>
      </c>
      <c r="G19" s="710" t="s">
        <v>107</v>
      </c>
      <c r="H19" s="686">
        <v>4</v>
      </c>
      <c r="I19" s="686" t="s">
        <v>108</v>
      </c>
      <c r="J19" s="689" t="s">
        <v>53</v>
      </c>
      <c r="K19" s="580" t="s">
        <v>328</v>
      </c>
      <c r="L19" s="1065" t="s">
        <v>10</v>
      </c>
      <c r="M19" s="1066"/>
      <c r="N19" s="689" t="s">
        <v>51</v>
      </c>
      <c r="O19" s="690" t="s">
        <v>110</v>
      </c>
      <c r="P19" s="730" t="s">
        <v>312</v>
      </c>
      <c r="Q19" s="579" t="s">
        <v>329</v>
      </c>
      <c r="R19" s="1008" t="s">
        <v>628</v>
      </c>
      <c r="S19" s="936">
        <v>42947</v>
      </c>
      <c r="T19" s="880" t="s">
        <v>517</v>
      </c>
      <c r="U19" s="696" t="s">
        <v>322</v>
      </c>
      <c r="V19" s="728" t="s">
        <v>330</v>
      </c>
      <c r="X19" s="409" t="str">
        <f>IF(AND(F19=1,H19=5),$H$25,IF(AND(F19=1,H19=10),$J$25,IF(AND(F19=1,H19=20),$K$25," ")))</f>
        <v xml:space="preserve"> </v>
      </c>
      <c r="Y19" s="409" t="str">
        <f>IF(AND(F19=2,H19=5),$H$26,IF(AND(F19=2,H19=10),$J$26,IF(AND(F19=2,H19=20),$K$26," ")))</f>
        <v xml:space="preserve"> </v>
      </c>
      <c r="Z19" s="409" t="str">
        <f>IF(AND(F19=3,H19=5),$H$27,IF(AND(F19=3,H19=10),$J$27,IF(AND(F19=3,H19=20),$K$27," ")))</f>
        <v xml:space="preserve"> </v>
      </c>
      <c r="AA19" s="409" t="str">
        <f>IF(AND(F19=4,H19=5),$H$28,IF(AND(F19=4,H19=10),$J$28,IF(AND(F19=4,H19=20),$K$28," ")))</f>
        <v xml:space="preserve"> </v>
      </c>
      <c r="AB19" s="409" t="str">
        <f>IF(AND(F19=5,H19=5),$H$29,IF(AND(F19=5,H19=10),$J$29,IF(AND(F19=5,H19=20),$K$29," ")))</f>
        <v xml:space="preserve"> </v>
      </c>
      <c r="AE19" s="409" t="str">
        <f>IF(AND(L19&gt;0,[8]EvaluaciónRiesgoCorrup!$F$11&gt;75,F19=1,H19=5),$H$25,IF(AND(L19&gt;0,[8]EvaluaciónRiesgoCorrup!$F$11&gt;75,F19=1,H19=10),$J$25,IF(AND(L19&gt;0,[8]EvaluaciónRiesgoCorrup!$F$11&gt;75,F19=1,H19=20),$K$25," ")))</f>
        <v xml:space="preserve"> </v>
      </c>
      <c r="AF19" s="409" t="str">
        <f>IF(AND(L19&gt;0,[8]EvaluaciónRiesgoCorrup!$F$11&gt;75,F19=2,H19=5),$H$25,IF(AND(L19&gt;0,[8]EvaluaciónRiesgoCorrup!$F$11&gt;75,F19=2,H19=10),$J$25,IF(AND(L19&gt;0,[8]EvaluaciónRiesgoCorrup!$F$11&gt;75,F19=2,H19=20),$K$25," ")))</f>
        <v xml:space="preserve"> </v>
      </c>
      <c r="AG19" s="409" t="str">
        <f>IF(AND(L19&gt;0,[8]EvaluaciónRiesgoCorrup!$F$11&gt;75,F19=3,H19=5),$H$25,IF(AND(L19&gt;0,[8]EvaluaciónRiesgoCorrup!$F$11&gt;75,F19=3,H19=10),$J$25,IF(AND(L19&gt;0,[8]EvaluaciónRiesgoCorrup!$F$11&gt;75,F19=3,H19=20),$K$25," ")))</f>
        <v xml:space="preserve"> </v>
      </c>
      <c r="AH19" s="409" t="str">
        <f>IF(AND(L19&gt;0,[8]EvaluaciónRiesgoCorrup!$F$11&gt;75,F19=4,H19=5),$H$26,IF(AND(L19&gt;0,[8]EvaluaciónRiesgoCorrup!$F$11&gt;75,F19=4,H19=10),$J$26,IF(AND(L19&gt;0,[8]EvaluaciónRiesgoCorrup!$F$11&gt;75,F19=4,H19=20),$K$26," ")))</f>
        <v xml:space="preserve"> </v>
      </c>
      <c r="AI19" s="409" t="str">
        <f>IF(AND(L19&gt;0,[8]EvaluaciónRiesgoCorrup!$F$11&gt;75,F19=5,H19=5),$H$27,IF(AND(L19&gt;0,[8]EvaluaciónRiesgoCorrup!$F$11&gt;75,F19=5,H19=10),$J$27,IF(AND(L19&gt;0,[8]EvaluaciónRiesgoCorrup!$F$11&gt;75,F19=5,H19=20),$K$27," ")))</f>
        <v xml:space="preserve"> </v>
      </c>
      <c r="AK19" s="409" t="str">
        <f>IF(AND(L19&gt;0,[8]EvaluaciónRiesgoCorrup!$F$11&gt;50,[8]EvaluaciónRiesgoCorrup!$F$11&lt;76,F19=1,H19=5),$H$25,IF(AND(L19&gt;0,[8]EvaluaciónRiesgoCorrup!$F$11&gt;50,[8]EvaluaciónRiesgoCorrup!$F$11&lt;76,F19=1,H19=10),$J$25,IF(AND(L19&gt;0,[8]EvaluaciónRiesgoCorrup!$F$11&gt;50,[8]EvaluaciónRiesgoCorrup!$F$11&lt;76,F19=1,H19=20),$K$25," ")))</f>
        <v xml:space="preserve"> </v>
      </c>
      <c r="AL19" s="409" t="str">
        <f>IF(AND(L19&gt;0,[8]EvaluaciónRiesgoCorrup!$F$11&gt;50,[8]EvaluaciónRiesgoCorrup!$F$11&lt;76,F19=2,H19=5),$H$25,IF(AND(L19&gt;0,[8]EvaluaciónRiesgoCorrup!$F$11&gt;50,[8]EvaluaciónRiesgoCorrup!$F$11&lt;76,F19=2,H19=10),$J$25,IF(AND(L19&gt;0,[8]EvaluaciónRiesgoCorrup!$F$11&gt;50,[8]EvaluaciónRiesgoCorrup!$F$11&lt;76,F19=2,H19=20),$K$25," ")))</f>
        <v xml:space="preserve"> </v>
      </c>
      <c r="AM19" s="409" t="str">
        <f>IF(AND(L19&gt;0,[8]EvaluaciónRiesgoCorrup!$F$11&gt;50,[8]EvaluaciónRiesgoCorrup!$F$11&lt;76,F19=3,H19=5),$H$26,IF(AND(L19&gt;0,[8]EvaluaciónRiesgoCorrup!$F$11&gt;50,[8]EvaluaciónRiesgoCorrup!$F$11&lt;76,F19=3,H19=10),$J$26,IF(AND(L19&gt;0,[8]EvaluaciónRiesgoCorrup!$F$11&gt;50,[8]EvaluaciónRiesgoCorrup!$F$11&lt;76,F19=3,H19=20),$K$26," ")))</f>
        <v xml:space="preserve"> </v>
      </c>
      <c r="AN19" s="409" t="str">
        <f>IF(AND(L19&gt;0,[8]EvaluaciónRiesgoCorrup!$F$11&gt;50,[8]EvaluaciónRiesgoCorrup!$F$11&lt;76,F19=4,H19=5),$H$27,IF(AND(L19&gt;0,[8]EvaluaciónRiesgoCorrup!$F$11&gt;50,[8]EvaluaciónRiesgoCorrup!$F$11&lt;76,F19=4,H19=10),$J$27,IF(AND(L19&gt;0,[8]EvaluaciónRiesgoCorrup!$F$11&gt;50,[8]EvaluaciónRiesgoCorrup!$F$11&lt;76,F19=4,H19=20),$K$27," ")))</f>
        <v xml:space="preserve"> </v>
      </c>
      <c r="AO19" s="409" t="str">
        <f>IF(AND(L19&gt;0,[8]EvaluaciónRiesgoCorrup!$F$11&gt;50,[8]EvaluaciónRiesgoCorrup!$F$11&lt;76,F19=5,H19=5),$H$28,IF(AND(L19&gt;0,[8]EvaluaciónRiesgoCorrup!$F$11&gt;50,[8]EvaluaciónRiesgoCorrup!$F$11&lt;76,F19=5,H19=10),$J$28,IF(AND(L19&gt;0,[8]EvaluaciónRiesgoCorrup!$F$11&gt;50,[8]EvaluaciónRiesgoCorrup!$F$11&lt;76,F19=5,H19=20),$K$28," ")))</f>
        <v xml:space="preserve"> </v>
      </c>
      <c r="AR19" s="409" t="str">
        <f>IF(AND(L19&gt;0,[8]EvaluaciónRiesgoCorrup!$F$11&lt;51,F19=1,H19=5),$H$25,IF(AND(L19&gt;0,[8]EvaluaciónRiesgoCorrup!$F$11&lt;51,F19=1,H19=10),$J$25,IF(AND(L19&gt;0,[8]EvaluaciónRiesgoCorrup!$F$11&lt;51,F19=1,H19=20),K$25," ")))</f>
        <v xml:space="preserve"> </v>
      </c>
      <c r="AS19" s="409" t="str">
        <f>IF(AND(L19&gt;0,[8]EvaluaciónRiesgoCorrup!$F$11&lt;51,F19=2,H19=5),$H$26,IF(AND(L19&gt;0,[8]EvaluaciónRiesgoCorrup!$F$11&lt;51,F19=2,H19=10),$J$26,IF(AND(L19&gt;0,[8]EvaluaciónRiesgoCorrup!$F$11&lt;51,F19=2,H19=20),K$26," ")))</f>
        <v xml:space="preserve"> </v>
      </c>
      <c r="AT19" s="409" t="str">
        <f>IF(AND(L19&gt;0,[8]EvaluaciónRiesgoCorrup!$F$11&lt;51,F19=3,H19=5),$H$27,IF(AND(L19&gt;0,[8]EvaluaciónRiesgoCorrup!$F$11&lt;51,F19=3,H19=10),$J$27,IF(AND(L19&gt;0,[8]EvaluaciónRiesgoCorrup!$F$11&lt;51,F19=3,H19=20),K$27," ")))</f>
        <v xml:space="preserve"> </v>
      </c>
      <c r="AU19" s="409" t="str">
        <f>IF(AND(L19&gt;0,[8]EvaluaciónRiesgoCorrup!$F$11&lt;51,F19=4,H19=5),$H$28,IF(AND(L19&gt;0,[8]EvaluaciónRiesgoCorrup!$F$11&lt;51,F19=4,H19=10),$J$28,IF(AND(L19&gt;0,[8]EvaluaciónRiesgoCorrup!$F$11&lt;51,F19=4,H19=20),K$28," ")))</f>
        <v xml:space="preserve"> </v>
      </c>
      <c r="AV19" s="409" t="str">
        <f>IF(AND(L19&gt;0,[8]EvaluaciónRiesgoCorrup!$F$11&lt;51,F19=5,H19=5),$H$29,IF(AND(L19&gt;0,[8]EvaluaciónRiesgoCorrup!$F$11&lt;51,F19=5,H19=10),$J$29,IF(AND(L19&gt;0,[8]EvaluaciónRiesgoCorrup!$F$11&lt;51,F19=5,H19=20),K$29," ")))</f>
        <v xml:space="preserve"> </v>
      </c>
      <c r="AZ19" s="409" t="str">
        <f>IF(AND(M19&gt;0,[8]EvaluaciónRiesgoCorrup!$F$11&gt;75,F19=1,H19=5),$H$25,IF(AND(M19&gt;0,[8]EvaluaciónRiesgoCorrup!$F$11&gt;75,F19=1,H19=10),$H$25,IF(AND(M19&gt;0,[8]EvaluaciónRiesgoCorrup!$F$11&gt;75,F19=1,H19=20),$H$25," ")))</f>
        <v xml:space="preserve"> </v>
      </c>
      <c r="BA19" s="409" t="str">
        <f>IF(AND(M19&gt;0,[8]EvaluaciónRiesgoCorrup!$F$11&gt;75,F19=2,H19=5),$H$26,IF(AND(M19&gt;0,[8]EvaluaciónRiesgoCorrup!$F$11&gt;75,F19=2,H19=10),$H$26,IF(AND(M19&gt;0,[8]EvaluaciónRiesgoCorrup!$F$11&gt;75,F19=2,H19=20),$H$26," ")))</f>
        <v xml:space="preserve"> </v>
      </c>
      <c r="BB19" s="409" t="str">
        <f>IF(AND(M19&gt;0,[8]EvaluaciónRiesgoCorrup!$F$11&gt;75,F19=3,H19=5),$H$27,IF(AND(M19&gt;0,[8]EvaluaciónRiesgoCorrup!$F$11&gt;75,F19=3,H19=10),$H$27,IF(AND(M19&gt;0,[8]EvaluaciónRiesgoCorrup!$F$11&gt;75,F19=3,H19=20),$H$27," ")))</f>
        <v xml:space="preserve"> </v>
      </c>
      <c r="BC19" s="409" t="str">
        <f>IF(AND(M19&gt;0,[8]EvaluaciónRiesgoCorrup!$F$11&gt;75,F19=4,H19=5),$H$28,IF(AND(M19&gt;0,[8]EvaluaciónRiesgoCorrup!$F$11&gt;75,F19=4,H19=10),$H$28,IF(AND(M19&gt;0,[8]EvaluaciónRiesgoCorrup!$F$11&gt;75,F19=4,H19=20),$H$28," ")))</f>
        <v xml:space="preserve"> </v>
      </c>
      <c r="BD19" s="409" t="str">
        <f>IF(AND(M19&gt;0,[8]EvaluaciónRiesgoCorrup!$F$11&gt;75,F19=5,H19=5),$H$29,IF(AND(M19&gt;0,[8]EvaluaciónRiesgoCorrup!$F$11&gt;75,F19=5,H19=10),$H$29,IF(AND(M19&gt;0,[8]EvaluaciónRiesgoCorrup!$F$11&gt;75,F19=5,H19=20),$H$29," ")))</f>
        <v xml:space="preserve"> </v>
      </c>
      <c r="BG19" s="409" t="str">
        <f>IF(AND(M19&gt;0,[8]EvaluaciónRiesgoCorrup!$F$11&gt;50,[8]EvaluaciónRiesgoCorrup!$F$11&lt;76,F19=1,H19=5),$H$25,IF(AND(M19&gt;0,[8]EvaluaciónRiesgoCorrup!$F$11&gt;50,[8]EvaluaciónRiesgoCorrup!$F$11&lt;76,F19=1,H19=10),$H$25,IF(AND(M19&gt;0,[8]EvaluaciónRiesgoCorrup!$F$11&gt;50,[8]EvaluaciónRiesgoCorrup!$F$11&lt;76,F19=1,H19=20),$J$25," ")))</f>
        <v xml:space="preserve"> </v>
      </c>
      <c r="BH19" s="409" t="str">
        <f>IF(AND(M19&gt;0,[8]EvaluaciónRiesgoCorrup!$F$11&gt;50,[8]EvaluaciónRiesgoCorrup!$F$11&lt;76,F19=2,H19=5),$H$26,IF(AND(M19&gt;0,[8]EvaluaciónRiesgoCorrup!$F$11&gt;50,[8]EvaluaciónRiesgoCorrup!$F$11&lt;76,F19=2,H19=10),$H$26,IF(AND(M19&gt;0,[8]EvaluaciónRiesgoCorrup!$F$11&gt;50,[8]EvaluaciónRiesgoCorrup!$F$11&lt;76,F19=2,H19=20),$J$26," ")))</f>
        <v xml:space="preserve"> </v>
      </c>
      <c r="BI19" s="409" t="str">
        <f>IF(AND(M19&gt;0,[8]EvaluaciónRiesgoCorrup!$F$11&gt;50,[8]EvaluaciónRiesgoCorrup!$F$11&lt;76,F19=3,H19=5),$H$27,IF(AND(M19&gt;0,[8]EvaluaciónRiesgoCorrup!$F$11&gt;50,[8]EvaluaciónRiesgoCorrup!$F$11&lt;76,F19=3,H19=10),$H$27,IF(AND(M19&gt;0,[8]EvaluaciónRiesgoCorrup!$F$11&gt;50,[8]EvaluaciónRiesgoCorrup!$F$11&lt;76,F19=3,H19=20),$J$27," ")))</f>
        <v xml:space="preserve"> </v>
      </c>
      <c r="BJ19" s="409" t="str">
        <f>IF(AND(M19&gt;0,[8]EvaluaciónRiesgoCorrup!$F$11&gt;50,[8]EvaluaciónRiesgoCorrup!$F$11&lt;76,F19=4,H19=5),$H$28,IF(AND(M19&gt;0,[8]EvaluaciónRiesgoCorrup!$F$11&gt;50,[8]EvaluaciónRiesgoCorrup!$F$11&lt;76,F19=4,H19=10),$H$28,IF(AND(M19&gt;0,[8]EvaluaciónRiesgoCorrup!$F$11&gt;50,[8]EvaluaciónRiesgoCorrup!$F$11&lt;76,F19=4,H19=20),$J$28," ")))</f>
        <v xml:space="preserve"> </v>
      </c>
      <c r="BK19" s="409" t="str">
        <f>IF(AND(M19&gt;0,[8]EvaluaciónRiesgoCorrup!$F$11&gt;50,[8]EvaluaciónRiesgoCorrup!$F$11&lt;76,F19=5,H19=5),$H$29,IF(AND(M19&gt;0,[8]EvaluaciónRiesgoCorrup!$F$11&gt;50,[8]EvaluaciónRiesgoCorrup!$F$11&lt;76,F19=5,H19=10),$H$29,IF(AND(M19&gt;0,[8]EvaluaciónRiesgoCorrup!$F$11&gt;50,[8]EvaluaciónRiesgoCorrup!$F$11&lt;76,F19=5,H19=20),$J$29," ")))</f>
        <v xml:space="preserve"> </v>
      </c>
      <c r="BN19" s="409" t="str">
        <f>IF(AND(M19&gt;0,[8]EvaluaciónRiesgoCorrup!$F$11&lt;51,F19=1,H19=5),$H$25,IF(AND(M19&gt;0,[8]EvaluaciónRiesgoCorrup!$F$11&lt;51,F19=1,H19=10),$J$25,IF(AND(M19&gt;0,[8]EvaluaciónRiesgoCorrup!$F$11&lt;51,F19=1,H19=20),$K$25," ")))</f>
        <v xml:space="preserve"> </v>
      </c>
      <c r="BO19" s="409" t="str">
        <f>IF(AND(M19&gt;0,[8]EvaluaciónRiesgoCorrup!$F$11&lt;51,F19=2,H19=5),$H$26,IF(AND(M19&gt;0,[8]EvaluaciónRiesgoCorrup!$F$11&lt;51,F19=2,H19=10),$J$26,IF(AND(M19&gt;0,[8]EvaluaciónRiesgoCorrup!$F$11&lt;51,F19=2,H19=20),$K$26," ")))</f>
        <v xml:space="preserve"> </v>
      </c>
      <c r="BP19" s="409" t="str">
        <f>IF(AND(M19&gt;0,[8]EvaluaciónRiesgoCorrup!$F$11&lt;51,F19=3,H19=5),$H$27,IF(AND(M19&gt;0,[8]EvaluaciónRiesgoCorrup!$F$11&lt;51,F19=3,H19=10),$J$27,IF(AND(M19&gt;0,[8]EvaluaciónRiesgoCorrup!$F$11&lt;51,F19=3,H19=20),$K$27," ")))</f>
        <v xml:space="preserve"> </v>
      </c>
      <c r="BQ19" s="409" t="str">
        <f>IF(AND(M19&gt;0,[8]EvaluaciónRiesgoCorrup!$F$11&lt;51,F19=4,H19=5),$H$28,IF(AND(M19&gt;0,[8]EvaluaciónRiesgoCorrup!$F$11&lt;51,F19=4,H19=10),$J$28,IF(AND(M19&gt;0,[8]EvaluaciónRiesgoCorrup!$F$11&lt;51,F19=4,H19=20),$K$28," ")))</f>
        <v xml:space="preserve"> </v>
      </c>
      <c r="BR19" s="409" t="str">
        <f>IF(AND(M19&gt;0,[8]EvaluaciónRiesgoCorrup!$F$11&lt;51,F19=5,H19=5),$H$29,IF(AND(M19&gt;0,[8]EvaluaciónRiesgoCorrup!$F$11&lt;51,F19=5,H19=10),$J$29,IF(AND(M19&gt;0,[8]EvaluaciónRiesgoCorrup!$F$11&lt;51,F19=5,H19=20),$K$29," ")))</f>
        <v xml:space="preserve"> </v>
      </c>
    </row>
    <row r="20" spans="1:70" ht="153.75" customHeight="1" x14ac:dyDescent="0.35">
      <c r="A20" s="678" t="s">
        <v>331</v>
      </c>
      <c r="B20" s="545" t="s">
        <v>332</v>
      </c>
      <c r="C20" s="682" t="s">
        <v>333</v>
      </c>
      <c r="D20" s="682" t="s">
        <v>334</v>
      </c>
      <c r="E20" s="682" t="s">
        <v>119</v>
      </c>
      <c r="F20" s="710">
        <v>4</v>
      </c>
      <c r="G20" s="710" t="s">
        <v>114</v>
      </c>
      <c r="H20" s="686">
        <v>20</v>
      </c>
      <c r="I20" s="686" t="s">
        <v>122</v>
      </c>
      <c r="J20" s="689" t="s">
        <v>53</v>
      </c>
      <c r="K20" s="546" t="s">
        <v>335</v>
      </c>
      <c r="L20" s="1065" t="s">
        <v>10</v>
      </c>
      <c r="M20" s="1066"/>
      <c r="N20" s="689" t="s">
        <v>49</v>
      </c>
      <c r="O20" s="690" t="s">
        <v>110</v>
      </c>
      <c r="P20" s="730" t="s">
        <v>320</v>
      </c>
      <c r="Q20" s="547" t="s">
        <v>336</v>
      </c>
      <c r="R20" s="1005" t="s">
        <v>629</v>
      </c>
      <c r="S20" s="936">
        <v>42947</v>
      </c>
      <c r="T20" s="880" t="s">
        <v>518</v>
      </c>
      <c r="U20" s="696" t="s">
        <v>322</v>
      </c>
      <c r="V20" s="728" t="s">
        <v>337</v>
      </c>
    </row>
    <row r="21" spans="1:70" x14ac:dyDescent="0.35">
      <c r="A21" s="409"/>
      <c r="B21" s="410"/>
      <c r="C21" s="105"/>
      <c r="D21" s="105"/>
      <c r="E21" s="423"/>
      <c r="V21" s="409"/>
    </row>
    <row r="22" spans="1:70" ht="14.5" thickBot="1" x14ac:dyDescent="0.4">
      <c r="A22" s="409"/>
      <c r="B22" s="410"/>
      <c r="C22" s="410"/>
      <c r="D22" s="410"/>
      <c r="E22" s="423"/>
      <c r="H22" s="424"/>
      <c r="I22" s="424"/>
      <c r="J22" s="424"/>
    </row>
    <row r="23" spans="1:70" ht="14.5" thickBot="1" x14ac:dyDescent="0.4">
      <c r="A23" s="6"/>
      <c r="B23" s="423"/>
      <c r="C23" s="423"/>
      <c r="D23" s="423"/>
      <c r="E23" s="423"/>
      <c r="F23" s="1019" t="s">
        <v>26</v>
      </c>
      <c r="G23" s="84"/>
      <c r="H23" s="1021" t="s">
        <v>10</v>
      </c>
      <c r="I23" s="1021"/>
      <c r="J23" s="1021"/>
      <c r="K23" s="1022"/>
      <c r="L23" s="399"/>
      <c r="Q23" s="402"/>
      <c r="S23" s="399"/>
    </row>
    <row r="24" spans="1:70" ht="32.25" customHeight="1" thickBot="1" x14ac:dyDescent="0.4">
      <c r="A24" s="402"/>
      <c r="B24" s="411" t="s">
        <v>42</v>
      </c>
      <c r="C24" s="411"/>
      <c r="D24" s="411"/>
      <c r="E24" s="411"/>
      <c r="F24" s="1020"/>
      <c r="G24" s="702"/>
      <c r="H24" s="412" t="s">
        <v>43</v>
      </c>
      <c r="I24" s="412"/>
      <c r="J24" s="36" t="s">
        <v>44</v>
      </c>
      <c r="K24" s="412" t="s">
        <v>45</v>
      </c>
      <c r="L24" s="399"/>
      <c r="Q24" s="402"/>
      <c r="S24" s="399"/>
    </row>
    <row r="25" spans="1:70" ht="14.5" thickBot="1" x14ac:dyDescent="0.4">
      <c r="B25" s="402" t="s">
        <v>46</v>
      </c>
      <c r="C25" s="402"/>
      <c r="D25" s="402"/>
      <c r="F25" s="413" t="s">
        <v>47</v>
      </c>
      <c r="G25" s="413"/>
      <c r="H25" s="414" t="s">
        <v>48</v>
      </c>
      <c r="I25" s="414"/>
      <c r="J25" s="414" t="s">
        <v>48</v>
      </c>
      <c r="K25" s="415" t="s">
        <v>49</v>
      </c>
      <c r="L25" s="399"/>
      <c r="Q25" s="402"/>
      <c r="S25" s="399"/>
    </row>
    <row r="26" spans="1:70" ht="14.5" thickBot="1" x14ac:dyDescent="0.4">
      <c r="F26" s="413" t="s">
        <v>50</v>
      </c>
      <c r="G26" s="413"/>
      <c r="H26" s="414" t="s">
        <v>48</v>
      </c>
      <c r="I26" s="414"/>
      <c r="J26" s="415" t="s">
        <v>49</v>
      </c>
      <c r="K26" s="40" t="s">
        <v>51</v>
      </c>
      <c r="L26" s="399"/>
      <c r="Q26" s="402"/>
      <c r="S26" s="399"/>
    </row>
    <row r="27" spans="1:70" ht="14.5" thickBot="1" x14ac:dyDescent="0.4">
      <c r="F27" s="413" t="s">
        <v>52</v>
      </c>
      <c r="G27" s="413"/>
      <c r="H27" s="415" t="s">
        <v>49</v>
      </c>
      <c r="I27" s="415"/>
      <c r="J27" s="40" t="s">
        <v>51</v>
      </c>
      <c r="K27" s="41" t="s">
        <v>53</v>
      </c>
      <c r="L27" s="399"/>
      <c r="Q27" s="402"/>
      <c r="S27" s="399"/>
    </row>
    <row r="28" spans="1:70" ht="14.5" thickBot="1" x14ac:dyDescent="0.4">
      <c r="F28" s="413" t="s">
        <v>54</v>
      </c>
      <c r="G28" s="413"/>
      <c r="H28" s="415" t="s">
        <v>49</v>
      </c>
      <c r="I28" s="415"/>
      <c r="J28" s="40" t="s">
        <v>51</v>
      </c>
      <c r="K28" s="41" t="s">
        <v>53</v>
      </c>
      <c r="L28" s="399"/>
      <c r="Q28" s="402"/>
      <c r="S28" s="399"/>
    </row>
    <row r="29" spans="1:70" ht="14.5" thickBot="1" x14ac:dyDescent="0.4">
      <c r="F29" s="413" t="s">
        <v>55</v>
      </c>
      <c r="G29" s="413"/>
      <c r="H29" s="415" t="s">
        <v>49</v>
      </c>
      <c r="I29" s="415"/>
      <c r="J29" s="40" t="s">
        <v>51</v>
      </c>
      <c r="K29" s="41" t="s">
        <v>53</v>
      </c>
      <c r="L29" s="399"/>
      <c r="Q29" s="402"/>
      <c r="S29" s="399"/>
    </row>
    <row r="30" spans="1:70" x14ac:dyDescent="0.35">
      <c r="F30" s="399"/>
      <c r="G30" s="399"/>
      <c r="H30" s="399"/>
      <c r="I30" s="399"/>
      <c r="J30" s="399"/>
      <c r="K30" s="402"/>
      <c r="M30" s="402"/>
    </row>
    <row r="31" spans="1:70" x14ac:dyDescent="0.35">
      <c r="F31" s="416" t="s">
        <v>56</v>
      </c>
      <c r="G31" s="416"/>
      <c r="H31" s="399"/>
      <c r="I31" s="399"/>
      <c r="J31" s="399"/>
      <c r="K31" s="402"/>
      <c r="M31" s="402"/>
      <c r="N31" s="402"/>
      <c r="O31" s="402"/>
      <c r="P31" s="402"/>
    </row>
    <row r="32" spans="1:70" x14ac:dyDescent="0.35">
      <c r="F32" s="417" t="s">
        <v>57</v>
      </c>
      <c r="G32" s="417"/>
      <c r="H32" s="399"/>
      <c r="I32" s="399"/>
      <c r="J32" s="399"/>
      <c r="K32" s="402"/>
      <c r="M32" s="402"/>
      <c r="N32" s="402"/>
      <c r="O32" s="402"/>
      <c r="P32" s="402"/>
    </row>
    <row r="33" spans="6:16" x14ac:dyDescent="0.35">
      <c r="F33" s="418" t="s">
        <v>58</v>
      </c>
      <c r="G33" s="418"/>
      <c r="H33" s="399"/>
      <c r="I33" s="399"/>
      <c r="J33" s="399"/>
      <c r="K33" s="402"/>
      <c r="M33" s="402"/>
      <c r="N33" s="402"/>
      <c r="O33" s="402"/>
      <c r="P33" s="402"/>
    </row>
    <row r="34" spans="6:16" x14ac:dyDescent="0.35">
      <c r="F34" s="419" t="s">
        <v>59</v>
      </c>
      <c r="G34" s="419"/>
      <c r="H34" s="399"/>
      <c r="I34" s="399"/>
      <c r="J34" s="399"/>
      <c r="K34" s="402"/>
      <c r="M34" s="402"/>
      <c r="N34" s="402"/>
      <c r="O34" s="402"/>
      <c r="P34" s="402"/>
    </row>
  </sheetData>
  <mergeCells count="37">
    <mergeCell ref="A12:D12"/>
    <mergeCell ref="F12:V12"/>
    <mergeCell ref="L20:M20"/>
    <mergeCell ref="F23:F24"/>
    <mergeCell ref="H23:K23"/>
    <mergeCell ref="T15:T16"/>
    <mergeCell ref="U15:U16"/>
    <mergeCell ref="L17:M17"/>
    <mergeCell ref="L18:M18"/>
    <mergeCell ref="L19:M19"/>
    <mergeCell ref="AG13:AY13"/>
    <mergeCell ref="BA13:BT13"/>
    <mergeCell ref="A14:D14"/>
    <mergeCell ref="F14:H14"/>
    <mergeCell ref="K14:K16"/>
    <mergeCell ref="L14:N14"/>
    <mergeCell ref="P14:R14"/>
    <mergeCell ref="S14:V14"/>
    <mergeCell ref="V15:V16"/>
    <mergeCell ref="P15:R15"/>
    <mergeCell ref="S15:S16"/>
    <mergeCell ref="A15:A16"/>
    <mergeCell ref="B15:B16"/>
    <mergeCell ref="F15:H15"/>
    <mergeCell ref="L15:N15"/>
    <mergeCell ref="A6:D6"/>
    <mergeCell ref="F6:V6"/>
    <mergeCell ref="A8:D8"/>
    <mergeCell ref="F8:V8"/>
    <mergeCell ref="A10:D10"/>
    <mergeCell ref="F10:V10"/>
    <mergeCell ref="A1:D4"/>
    <mergeCell ref="F1:T4"/>
    <mergeCell ref="U1:V1"/>
    <mergeCell ref="U2:V2"/>
    <mergeCell ref="U3:V3"/>
    <mergeCell ref="U4:V4"/>
  </mergeCells>
  <conditionalFormatting sqref="J17:J19 N17:O19">
    <cfRule type="containsText" dxfId="155" priority="1" operator="containsText" text="E">
      <formula>NOT(ISERROR(SEARCH("E",J17)))</formula>
    </cfRule>
    <cfRule type="containsText" dxfId="154" priority="2" operator="containsText" text="M">
      <formula>NOT(ISERROR(SEARCH("M",J17)))</formula>
    </cfRule>
    <cfRule type="containsText" dxfId="153" priority="3" operator="containsText" text="A">
      <formula>NOT(ISERROR(SEARCH("A",J17)))</formula>
    </cfRule>
    <cfRule type="containsText" dxfId="152" priority="4" operator="containsText" text="B">
      <formula>NOT(ISERROR(SEARCH("B",J17)))</formula>
    </cfRule>
  </conditionalFormatting>
  <dataValidations count="2">
    <dataValidation type="list" allowBlank="1" showInputMessage="1" showErrorMessage="1" sqref="P20:Q20">
      <formula1>$J$31:$J$34</formula1>
    </dataValidation>
    <dataValidation type="list" allowBlank="1" showInputMessage="1" showErrorMessage="1" sqref="L20:O20">
      <formula1>#REF!</formula1>
    </dataValidation>
  </dataValidations>
  <pageMargins left="0.7" right="0.7" top="0.75" bottom="0.75" header="0.3" footer="0.3"/>
  <pageSetup scale="1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
  <sheetViews>
    <sheetView showGridLines="0" view="pageBreakPreview" topLeftCell="S10" zoomScale="70" zoomScaleNormal="55" zoomScaleSheetLayoutView="70" workbookViewId="0">
      <selection activeCell="F12" sqref="F12:W12"/>
    </sheetView>
  </sheetViews>
  <sheetFormatPr baseColWidth="10" defaultColWidth="11.453125" defaultRowHeight="14" x14ac:dyDescent="0.35"/>
  <cols>
    <col min="1" max="1" width="34.7265625" style="2" customWidth="1"/>
    <col min="2" max="3" width="25.54296875" style="2" customWidth="1"/>
    <col min="4" max="5" width="19.7265625" style="2" customWidth="1"/>
    <col min="6" max="7" width="27" style="5" customWidth="1"/>
    <col min="8" max="9" width="19" style="5" customWidth="1"/>
    <col min="10" max="10" width="26.7265625" style="5" customWidth="1"/>
    <col min="11" max="12" width="29.7265625" style="2" customWidth="1"/>
    <col min="13" max="13" width="21.54296875" style="5" customWidth="1"/>
    <col min="14" max="14" width="18.54296875" style="2" customWidth="1"/>
    <col min="15" max="16" width="21.7265625" style="2" customWidth="1"/>
    <col min="17" max="17" width="19.81640625" style="2" customWidth="1"/>
    <col min="18" max="18" width="26" style="2" customWidth="1"/>
    <col min="19" max="19" width="20.1796875" style="2" customWidth="1"/>
    <col min="20" max="20" width="27.26953125" style="5" customWidth="1"/>
    <col min="21" max="21" width="147.26953125" style="2" customWidth="1"/>
    <col min="22" max="22" width="30.453125" style="2" customWidth="1"/>
    <col min="23" max="23" width="44.7265625" style="2" customWidth="1"/>
    <col min="24" max="24" width="30.453125" style="2" customWidth="1"/>
    <col min="25" max="25" width="36" style="2" hidden="1" customWidth="1"/>
    <col min="26" max="26" width="0" style="2" hidden="1" customWidth="1"/>
    <col min="27" max="73" width="11.453125" style="2" hidden="1" customWidth="1"/>
    <col min="74" max="74" width="11.453125" style="2" customWidth="1"/>
    <col min="75" max="16384" width="11.453125" style="2"/>
  </cols>
  <sheetData>
    <row r="1" spans="1:73"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2"/>
      <c r="U1" s="1053"/>
      <c r="V1" s="1060" t="s">
        <v>1</v>
      </c>
      <c r="W1" s="1061"/>
      <c r="X1" s="1"/>
      <c r="Y1" s="1"/>
    </row>
    <row r="2" spans="1:73" ht="22.5" customHeight="1" x14ac:dyDescent="0.35">
      <c r="A2" s="1050"/>
      <c r="B2" s="1050"/>
      <c r="C2" s="1050"/>
      <c r="D2" s="1050"/>
      <c r="E2" s="80"/>
      <c r="F2" s="1054"/>
      <c r="G2" s="1055"/>
      <c r="H2" s="1055"/>
      <c r="I2" s="1055"/>
      <c r="J2" s="1055"/>
      <c r="K2" s="1055"/>
      <c r="L2" s="1055"/>
      <c r="M2" s="1055"/>
      <c r="N2" s="1055"/>
      <c r="O2" s="1055"/>
      <c r="P2" s="1055"/>
      <c r="Q2" s="1055"/>
      <c r="R2" s="1055"/>
      <c r="S2" s="1055"/>
      <c r="T2" s="1055"/>
      <c r="U2" s="1056"/>
      <c r="V2" s="1060" t="s">
        <v>372</v>
      </c>
      <c r="W2" s="1061"/>
      <c r="X2" s="1"/>
      <c r="Y2" s="1"/>
    </row>
    <row r="3" spans="1:73" ht="21" customHeight="1" x14ac:dyDescent="0.35">
      <c r="A3" s="1050"/>
      <c r="B3" s="1050"/>
      <c r="C3" s="1050"/>
      <c r="D3" s="1050"/>
      <c r="E3" s="80"/>
      <c r="F3" s="1054"/>
      <c r="G3" s="1055"/>
      <c r="H3" s="1055"/>
      <c r="I3" s="1055"/>
      <c r="J3" s="1055"/>
      <c r="K3" s="1055"/>
      <c r="L3" s="1055"/>
      <c r="M3" s="1055"/>
      <c r="N3" s="1055"/>
      <c r="O3" s="1055"/>
      <c r="P3" s="1055"/>
      <c r="Q3" s="1055"/>
      <c r="R3" s="1055"/>
      <c r="S3" s="1055"/>
      <c r="T3" s="1055"/>
      <c r="U3" s="1056"/>
      <c r="V3" s="1060" t="s">
        <v>373</v>
      </c>
      <c r="W3" s="1061"/>
      <c r="X3" s="1"/>
      <c r="Y3" s="1"/>
    </row>
    <row r="4" spans="1:73" ht="20.25" customHeight="1" x14ac:dyDescent="0.35">
      <c r="A4" s="1050"/>
      <c r="B4" s="1050"/>
      <c r="C4" s="1050"/>
      <c r="D4" s="1050"/>
      <c r="E4" s="81"/>
      <c r="F4" s="1057"/>
      <c r="G4" s="1058"/>
      <c r="H4" s="1058"/>
      <c r="I4" s="1058"/>
      <c r="J4" s="1058"/>
      <c r="K4" s="1058"/>
      <c r="L4" s="1058"/>
      <c r="M4" s="1058"/>
      <c r="N4" s="1058"/>
      <c r="O4" s="1058"/>
      <c r="P4" s="1058"/>
      <c r="Q4" s="1058"/>
      <c r="R4" s="1058"/>
      <c r="S4" s="1058"/>
      <c r="T4" s="1058"/>
      <c r="U4" s="1059"/>
      <c r="V4" s="1060" t="s">
        <v>2</v>
      </c>
      <c r="W4" s="1061"/>
      <c r="X4" s="1"/>
      <c r="Y4" s="1"/>
    </row>
    <row r="5" spans="1:73" ht="8.25" customHeight="1" x14ac:dyDescent="0.35">
      <c r="B5" s="3"/>
      <c r="C5" s="3"/>
      <c r="D5" s="3"/>
      <c r="E5" s="3"/>
      <c r="F5" s="4"/>
      <c r="G5" s="4"/>
      <c r="H5" s="4"/>
      <c r="I5" s="4"/>
      <c r="J5" s="4"/>
      <c r="K5" s="4"/>
      <c r="L5" s="4"/>
      <c r="M5" s="4"/>
      <c r="N5" s="4"/>
      <c r="O5" s="4"/>
      <c r="P5" s="4"/>
      <c r="Q5" s="4"/>
      <c r="R5" s="4"/>
      <c r="X5" s="6"/>
      <c r="Y5" s="6"/>
    </row>
    <row r="6" spans="1:73" x14ac:dyDescent="0.35">
      <c r="A6" s="1030" t="s">
        <v>3</v>
      </c>
      <c r="B6" s="1030"/>
      <c r="C6" s="1030"/>
      <c r="D6" s="1030"/>
      <c r="E6" s="82"/>
      <c r="F6" s="1044" t="str">
        <f>[10]IdentRiesgo!B2</f>
        <v>ATENCION AL CIUDADANO</v>
      </c>
      <c r="G6" s="1045"/>
      <c r="H6" s="1045"/>
      <c r="I6" s="1045"/>
      <c r="J6" s="1045"/>
      <c r="K6" s="1045"/>
      <c r="L6" s="1045"/>
      <c r="M6" s="1045"/>
      <c r="N6" s="1045"/>
      <c r="O6" s="1045"/>
      <c r="P6" s="1045"/>
      <c r="Q6" s="1045"/>
      <c r="R6" s="1045"/>
      <c r="S6" s="1045"/>
      <c r="T6" s="1045"/>
      <c r="U6" s="1045"/>
      <c r="V6" s="1045"/>
      <c r="W6" s="1046"/>
      <c r="X6" s="6"/>
      <c r="Y6" s="6"/>
    </row>
    <row r="7" spans="1:73" ht="6.75" customHeight="1" x14ac:dyDescent="0.35">
      <c r="B7" s="3"/>
      <c r="C7" s="3"/>
      <c r="D7" s="3"/>
      <c r="E7" s="3"/>
      <c r="F7" s="7"/>
      <c r="G7" s="7"/>
      <c r="H7" s="7"/>
      <c r="I7" s="7"/>
      <c r="J7" s="7"/>
      <c r="K7" s="7"/>
      <c r="L7" s="7"/>
      <c r="M7" s="7"/>
      <c r="N7" s="7"/>
      <c r="O7" s="7"/>
      <c r="P7" s="7"/>
      <c r="Q7" s="7"/>
      <c r="R7" s="7"/>
      <c r="S7" s="8"/>
      <c r="T7" s="8"/>
      <c r="U7" s="8"/>
      <c r="V7" s="8"/>
      <c r="W7" s="8"/>
      <c r="X7" s="6"/>
      <c r="Y7" s="6"/>
    </row>
    <row r="8" spans="1:73" ht="39.75" customHeight="1" x14ac:dyDescent="0.35">
      <c r="A8" s="1030" t="s">
        <v>4</v>
      </c>
      <c r="B8" s="1030"/>
      <c r="C8" s="1030"/>
      <c r="D8" s="1030"/>
      <c r="E8" s="82"/>
      <c r="F8" s="1047" t="str">
        <f>[10]IdentRiesgo!B3</f>
        <v>Brindar a los usuarios internos y externos del Instituto, una atención y orientación oportuna, eficaz y eficiente, con calidad, garantizando un trato amable y el acceso efectivo a la información que genera el IDEAM.</v>
      </c>
      <c r="G8" s="1048"/>
      <c r="H8" s="1048"/>
      <c r="I8" s="1048"/>
      <c r="J8" s="1048"/>
      <c r="K8" s="1048"/>
      <c r="L8" s="1048"/>
      <c r="M8" s="1048"/>
      <c r="N8" s="1048"/>
      <c r="O8" s="1048"/>
      <c r="P8" s="1048"/>
      <c r="Q8" s="1048"/>
      <c r="R8" s="1048"/>
      <c r="S8" s="1048"/>
      <c r="T8" s="1048"/>
      <c r="U8" s="1048"/>
      <c r="V8" s="1048"/>
      <c r="W8" s="1049"/>
      <c r="X8" s="9"/>
      <c r="Y8" s="9"/>
    </row>
    <row r="9" spans="1:73" ht="6.75" customHeight="1" x14ac:dyDescent="0.35">
      <c r="B9" s="10"/>
      <c r="C9" s="10"/>
      <c r="D9" s="10"/>
      <c r="E9" s="10"/>
      <c r="F9" s="11"/>
      <c r="G9" s="11"/>
      <c r="H9" s="11"/>
      <c r="I9" s="11"/>
      <c r="J9" s="11"/>
      <c r="K9" s="11"/>
      <c r="L9" s="11"/>
      <c r="M9" s="11"/>
      <c r="N9" s="11"/>
      <c r="O9" s="11"/>
      <c r="P9" s="11"/>
      <c r="Q9" s="11"/>
      <c r="R9" s="11"/>
      <c r="S9" s="8"/>
      <c r="T9" s="8"/>
      <c r="U9" s="8"/>
      <c r="V9" s="8"/>
      <c r="W9" s="8"/>
      <c r="X9" s="6"/>
      <c r="Y9" s="6"/>
    </row>
    <row r="10" spans="1:73" x14ac:dyDescent="0.35">
      <c r="A10" s="1030" t="s">
        <v>5</v>
      </c>
      <c r="B10" s="1030"/>
      <c r="C10" s="1030"/>
      <c r="D10" s="1030"/>
      <c r="E10" s="82"/>
      <c r="F10" s="1031" t="s">
        <v>73</v>
      </c>
      <c r="G10" s="1032"/>
      <c r="H10" s="1032"/>
      <c r="I10" s="1032"/>
      <c r="J10" s="1032"/>
      <c r="K10" s="1032"/>
      <c r="L10" s="1032"/>
      <c r="M10" s="1032"/>
      <c r="N10" s="1032"/>
      <c r="O10" s="1032"/>
      <c r="P10" s="1032"/>
      <c r="Q10" s="1032"/>
      <c r="R10" s="1032"/>
      <c r="S10" s="1032"/>
      <c r="T10" s="1032"/>
      <c r="U10" s="1032"/>
      <c r="V10" s="1032"/>
      <c r="W10" s="1033"/>
      <c r="X10" s="12"/>
      <c r="Y10" s="12"/>
    </row>
    <row r="11" spans="1:73" ht="5.25" customHeight="1" x14ac:dyDescent="0.35">
      <c r="B11" s="3"/>
      <c r="C11" s="3"/>
      <c r="D11" s="3"/>
      <c r="E11" s="3"/>
      <c r="F11" s="13"/>
      <c r="G11" s="13"/>
      <c r="H11" s="13"/>
      <c r="I11" s="13"/>
      <c r="J11" s="13"/>
      <c r="K11" s="13"/>
      <c r="L11" s="13"/>
      <c r="M11" s="13"/>
      <c r="N11" s="13"/>
      <c r="O11" s="13"/>
      <c r="P11" s="13"/>
      <c r="Q11" s="13"/>
      <c r="R11" s="13"/>
      <c r="S11" s="8"/>
      <c r="T11" s="8"/>
      <c r="U11" s="8"/>
      <c r="V11" s="8"/>
      <c r="W11" s="8"/>
      <c r="X11" s="6"/>
      <c r="Y11" s="6"/>
    </row>
    <row r="12" spans="1:73" x14ac:dyDescent="0.35">
      <c r="A12" s="1030" t="s">
        <v>6</v>
      </c>
      <c r="B12" s="1030"/>
      <c r="C12" s="1030"/>
      <c r="D12" s="1030"/>
      <c r="E12" s="82"/>
      <c r="F12" s="1031" t="s">
        <v>599</v>
      </c>
      <c r="G12" s="1032"/>
      <c r="H12" s="1032"/>
      <c r="I12" s="1032"/>
      <c r="J12" s="1032"/>
      <c r="K12" s="1032"/>
      <c r="L12" s="1032"/>
      <c r="M12" s="1032"/>
      <c r="N12" s="1032"/>
      <c r="O12" s="1032"/>
      <c r="P12" s="1032"/>
      <c r="Q12" s="1032"/>
      <c r="R12" s="1032"/>
      <c r="S12" s="1032"/>
      <c r="T12" s="1032"/>
      <c r="U12" s="1032"/>
      <c r="V12" s="1032"/>
      <c r="W12" s="1033"/>
      <c r="X12" s="12"/>
      <c r="Y12" s="12"/>
      <c r="AB12" s="2" t="s">
        <v>7</v>
      </c>
    </row>
    <row r="13" spans="1:73" ht="14.5" thickBot="1" x14ac:dyDescent="0.4">
      <c r="B13" s="3"/>
      <c r="C13" s="3"/>
      <c r="D13" s="3"/>
      <c r="E13" s="3"/>
      <c r="F13" s="14"/>
      <c r="G13" s="14"/>
      <c r="H13" s="15"/>
      <c r="I13" s="15"/>
      <c r="J13" s="15"/>
      <c r="K13" s="7"/>
      <c r="L13" s="7"/>
      <c r="M13" s="15"/>
      <c r="N13" s="7"/>
      <c r="O13" s="7"/>
      <c r="P13" s="7"/>
      <c r="Q13" s="7"/>
      <c r="R13" s="7"/>
      <c r="S13" s="7"/>
      <c r="T13" s="15"/>
      <c r="U13" s="7"/>
      <c r="X13" s="6"/>
      <c r="Y13" s="6"/>
      <c r="AB13" s="2" t="s">
        <v>8</v>
      </c>
      <c r="AH13" s="1034" t="s">
        <v>9</v>
      </c>
      <c r="AI13" s="1034"/>
      <c r="AJ13" s="1034"/>
      <c r="AK13" s="1034"/>
      <c r="AL13" s="1034"/>
      <c r="AM13" s="1034"/>
      <c r="AN13" s="1034"/>
      <c r="AO13" s="1034"/>
      <c r="AP13" s="1034"/>
      <c r="AQ13" s="1034"/>
      <c r="AR13" s="1034"/>
      <c r="AS13" s="1034"/>
      <c r="AT13" s="1034"/>
      <c r="AU13" s="1034"/>
      <c r="AV13" s="1034"/>
      <c r="AW13" s="1034"/>
      <c r="AX13" s="1034"/>
      <c r="AY13" s="1034"/>
      <c r="AZ13" s="1034"/>
      <c r="BB13" s="1034" t="s">
        <v>10</v>
      </c>
      <c r="BC13" s="1034"/>
      <c r="BD13" s="1034"/>
      <c r="BE13" s="1034"/>
      <c r="BF13" s="1034"/>
      <c r="BG13" s="1034"/>
      <c r="BH13" s="1034"/>
      <c r="BI13" s="1034"/>
      <c r="BJ13" s="1034"/>
      <c r="BK13" s="1034"/>
      <c r="BL13" s="1034"/>
      <c r="BM13" s="1034"/>
      <c r="BN13" s="1034"/>
      <c r="BO13" s="1034"/>
      <c r="BP13" s="1034"/>
      <c r="BQ13" s="1034"/>
      <c r="BR13" s="1034"/>
      <c r="BS13" s="1034"/>
      <c r="BT13" s="1034"/>
      <c r="BU13" s="1034"/>
    </row>
    <row r="14" spans="1:73" s="17" customFormat="1" ht="15" customHeight="1" x14ac:dyDescent="0.35">
      <c r="A14" s="1035" t="s">
        <v>11</v>
      </c>
      <c r="B14" s="1036"/>
      <c r="C14" s="1036"/>
      <c r="D14" s="1037"/>
      <c r="E14" s="83"/>
      <c r="F14" s="1038" t="s">
        <v>12</v>
      </c>
      <c r="G14" s="1038"/>
      <c r="H14" s="1038"/>
      <c r="I14" s="16"/>
      <c r="J14" s="16"/>
      <c r="K14" s="1039" t="s">
        <v>13</v>
      </c>
      <c r="L14" s="104"/>
      <c r="M14" s="1035" t="s">
        <v>14</v>
      </c>
      <c r="N14" s="1036"/>
      <c r="O14" s="1037"/>
      <c r="P14" s="74"/>
      <c r="Q14" s="1042" t="s">
        <v>15</v>
      </c>
      <c r="R14" s="1042"/>
      <c r="S14" s="1042"/>
      <c r="T14" s="1042" t="s">
        <v>16</v>
      </c>
      <c r="U14" s="1042"/>
      <c r="V14" s="1042"/>
      <c r="W14" s="1042"/>
    </row>
    <row r="15" spans="1:73" s="17" customFormat="1" ht="14.25" customHeight="1" x14ac:dyDescent="0.35">
      <c r="A15" s="1040" t="s">
        <v>17</v>
      </c>
      <c r="B15" s="1040" t="s">
        <v>18</v>
      </c>
      <c r="C15" s="75"/>
      <c r="D15" s="1040" t="s">
        <v>19</v>
      </c>
      <c r="E15" s="75"/>
      <c r="F15" s="1018" t="s">
        <v>20</v>
      </c>
      <c r="G15" s="1018"/>
      <c r="H15" s="1018"/>
      <c r="I15" s="71"/>
      <c r="J15" s="60"/>
      <c r="K15" s="1040"/>
      <c r="L15" s="103"/>
      <c r="M15" s="1023" t="s">
        <v>21</v>
      </c>
      <c r="N15" s="1024"/>
      <c r="O15" s="1025"/>
      <c r="P15" s="73"/>
      <c r="Q15" s="1023" t="s">
        <v>22</v>
      </c>
      <c r="R15" s="1024"/>
      <c r="S15" s="1025"/>
      <c r="T15" s="1018" t="s">
        <v>23</v>
      </c>
      <c r="U15" s="1018" t="s">
        <v>24</v>
      </c>
      <c r="V15" s="1018" t="s">
        <v>5</v>
      </c>
      <c r="W15" s="1018" t="s">
        <v>25</v>
      </c>
    </row>
    <row r="16" spans="1:73" s="17" customFormat="1" ht="63" customHeight="1" x14ac:dyDescent="0.35">
      <c r="A16" s="1043"/>
      <c r="B16" s="1043"/>
      <c r="C16" s="77" t="s">
        <v>96</v>
      </c>
      <c r="D16" s="1043"/>
      <c r="E16" s="77" t="s">
        <v>97</v>
      </c>
      <c r="F16" s="60" t="s">
        <v>26</v>
      </c>
      <c r="G16" s="71" t="s">
        <v>96</v>
      </c>
      <c r="H16" s="60" t="s">
        <v>10</v>
      </c>
      <c r="I16" s="71" t="s">
        <v>96</v>
      </c>
      <c r="J16" s="60" t="s">
        <v>27</v>
      </c>
      <c r="K16" s="1041"/>
      <c r="L16" s="76" t="s">
        <v>98</v>
      </c>
      <c r="M16" s="19" t="s">
        <v>26</v>
      </c>
      <c r="N16" s="19" t="s">
        <v>10</v>
      </c>
      <c r="O16" s="61" t="s">
        <v>27</v>
      </c>
      <c r="P16" s="77" t="s">
        <v>100</v>
      </c>
      <c r="Q16" s="60" t="s">
        <v>28</v>
      </c>
      <c r="R16" s="60" t="s">
        <v>24</v>
      </c>
      <c r="S16" s="60" t="s">
        <v>29</v>
      </c>
      <c r="T16" s="1018"/>
      <c r="U16" s="1018"/>
      <c r="V16" s="1018"/>
      <c r="W16" s="1018"/>
    </row>
    <row r="17" spans="1:71" ht="409.5" customHeight="1" x14ac:dyDescent="0.35">
      <c r="A17" s="113" t="s">
        <v>123</v>
      </c>
      <c r="B17" s="114" t="s">
        <v>124</v>
      </c>
      <c r="C17" s="115" t="s">
        <v>125</v>
      </c>
      <c r="D17" s="116" t="s">
        <v>126</v>
      </c>
      <c r="E17" s="117" t="s">
        <v>106</v>
      </c>
      <c r="F17" s="118">
        <v>4</v>
      </c>
      <c r="G17" s="119" t="s">
        <v>114</v>
      </c>
      <c r="H17" s="120">
        <v>3</v>
      </c>
      <c r="I17" s="121" t="s">
        <v>117</v>
      </c>
      <c r="J17" s="122" t="s">
        <v>51</v>
      </c>
      <c r="K17" s="123" t="s">
        <v>127</v>
      </c>
      <c r="L17" s="1080" t="s">
        <v>10</v>
      </c>
      <c r="M17" s="1081"/>
      <c r="N17" s="26" t="s">
        <v>67</v>
      </c>
      <c r="O17" s="124" t="s">
        <v>49</v>
      </c>
      <c r="P17" s="125" t="s">
        <v>128</v>
      </c>
      <c r="Q17" s="126" t="s">
        <v>70</v>
      </c>
      <c r="R17" s="23" t="s">
        <v>129</v>
      </c>
      <c r="S17" s="133" t="s">
        <v>130</v>
      </c>
      <c r="T17" s="134">
        <v>42947</v>
      </c>
      <c r="U17" s="880" t="s">
        <v>510</v>
      </c>
      <c r="V17" s="135" t="s">
        <v>131</v>
      </c>
      <c r="W17" s="136" t="s">
        <v>132</v>
      </c>
      <c r="Y17" s="28" t="str">
        <f>IF(AND(F17=1,H17=5),$H$25,IF(AND(F17=1,H17=10),$J$25,IF(AND(F17=1,H17=20),$K$25," ")))</f>
        <v xml:space="preserve"> </v>
      </c>
      <c r="Z17" s="28" t="str">
        <f>IF(AND(F17=2,H17=5),$H$26,IF(AND(F17=2,H17=10),$J$26,IF(AND(F17=2,H17=20),$K$26," ")))</f>
        <v xml:space="preserve"> </v>
      </c>
      <c r="AA17" s="28" t="str">
        <f>IF(AND(F17=3,H17=5),$H$27,IF(AND(F17=3,H17=10),$J$27,IF(AND(F17=3,H17=20),$K$27," ")))</f>
        <v xml:space="preserve"> </v>
      </c>
      <c r="AB17" s="28" t="str">
        <f>IF(AND(F17=4,H17=5),$H$28,IF(AND(F17=4,H17=10),$J$28,IF(AND(F17=4,H17=20),$K$28," ")))</f>
        <v xml:space="preserve"> </v>
      </c>
      <c r="AC17" s="28" t="str">
        <f>IF(AND(F17=5,H17=5),$H$29,IF(AND(F17=5,H17=10),$J$29,IF(AND(F17=5,H17=20),$K$29," ")))</f>
        <v xml:space="preserve"> </v>
      </c>
      <c r="AE17" s="29" t="s">
        <v>31</v>
      </c>
      <c r="AF17" s="28" t="str">
        <f>IF(AND(M17&gt;0,'[10]EvaluaciónRiesgoCorrup 1'!$F$11&gt;75,F17=1,H17=5),$H$25,IF(AND(M17&gt;0,'[10]EvaluaciónRiesgoCorrup 1'!$F$11&gt;75,F17=1,H17=10),$J$25,IF(AND(M17&gt;0,'[10]EvaluaciónRiesgoCorrup 1'!$F$11&gt;75,F17=1,H17=20),$K$25," ")))</f>
        <v xml:space="preserve"> </v>
      </c>
      <c r="AG17" s="28" t="str">
        <f>IF(AND(M17&gt;0,'[10]EvaluaciónRiesgoCorrup 1'!$F$11&gt;75,F17=2,H17=5),$H$25,IF(AND(M17&gt;0,'[10]EvaluaciónRiesgoCorrup 1'!$F$11&gt;75,F17=2,H17=10),$J$25,IF(AND(M17&gt;0,'[10]EvaluaciónRiesgoCorrup 1'!$F$11&gt;75,F17=2,H17=20),$K$25," ")))</f>
        <v xml:space="preserve"> </v>
      </c>
      <c r="AH17" s="28" t="str">
        <f>IF(AND(M17&gt;0,'[10]EvaluaciónRiesgoCorrup 1'!$F$11&gt;75,F17=3,H17=5),$H$25,IF(AND(M17&gt;0,'[10]EvaluaciónRiesgoCorrup 1'!$F$11&gt;75,F17=3,H17=10),$J$25,IF(AND(M17&gt;0,'[10]EvaluaciónRiesgoCorrup 1'!$F$11&gt;75,F17=3,H17=20),$K$25," ")))</f>
        <v xml:space="preserve"> </v>
      </c>
      <c r="AI17" s="28" t="str">
        <f>IF(AND(M17&gt;0,'[10]EvaluaciónRiesgoCorrup 1'!$F$11&gt;75,F17=4,H17=5),$H$26,IF(AND(M17&gt;0,'[10]EvaluaciónRiesgoCorrup 1'!$F$11&gt;75,F17=4,H17=10),$J$26,IF(AND(M17&gt;0,'[10]EvaluaciónRiesgoCorrup 1'!$F$11&gt;75,F17=4,H17=20),$K$26," ")))</f>
        <v xml:space="preserve"> </v>
      </c>
      <c r="AJ17" s="28" t="str">
        <f>IF(AND(M17&gt;0,'[10]EvaluaciónRiesgoCorrup 1'!$F$11&gt;75,F17=5,H17=5),$H$27,IF(AND(M17&gt;0,'[10]EvaluaciónRiesgoCorrup 1'!$F$11&gt;75,F17=5,H17=10),$J$27,IF(AND(M17&gt;0,'[10]EvaluaciónRiesgoCorrup 1'!$F$11&gt;75,F17=5,H17=20),$K$27," ")))</f>
        <v xml:space="preserve"> </v>
      </c>
      <c r="AK17" s="29" t="s">
        <v>32</v>
      </c>
      <c r="AL17" s="28" t="str">
        <f>IF(AND(M17&gt;0,'[10]EvaluaciónRiesgoCorrup 1'!$F$11&gt;50,'[10]EvaluaciónRiesgoCorrup 1'!$F$11&lt;76,F17=1,H17=5),$H$25,IF(AND(M17&gt;0,'[10]EvaluaciónRiesgoCorrup 1'!$F$11&gt;50,'[10]EvaluaciónRiesgoCorrup 1'!$F$11&lt;76,F17=1,H17=10),$J$25,IF(AND(M17&gt;0,'[10]EvaluaciónRiesgoCorrup 1'!$F$11&gt;50,'[10]EvaluaciónRiesgoCorrup 1'!$F$11&lt;76,F17=1,H17=20),$K$25," ")))</f>
        <v xml:space="preserve"> </v>
      </c>
      <c r="AM17" s="28" t="str">
        <f>IF(AND(M17&gt;0,'[10]EvaluaciónRiesgoCorrup 1'!$F$11&gt;50,'[10]EvaluaciónRiesgoCorrup 1'!$F$11&lt;76,F17=2,H17=5),$H$25,IF(AND(M17&gt;0,'[10]EvaluaciónRiesgoCorrup 1'!$F$11&gt;50,'[10]EvaluaciónRiesgoCorrup 1'!$F$11&lt;76,F17=2,H17=10),$J$25,IF(AND(M17&gt;0,'[10]EvaluaciónRiesgoCorrup 1'!$F$11&gt;50,'[10]EvaluaciónRiesgoCorrup 1'!$F$11&lt;76,F17=2,H17=20),$K$25," ")))</f>
        <v xml:space="preserve"> </v>
      </c>
      <c r="AN17" s="28" t="str">
        <f>IF(AND(M17&gt;0,'[10]EvaluaciónRiesgoCorrup 1'!$F$11&gt;50,'[10]EvaluaciónRiesgoCorrup 1'!$F$11&lt;76,F17=3,H17=5),$H$26,IF(AND(M17&gt;0,'[10]EvaluaciónRiesgoCorrup 1'!$F$11&gt;50,'[10]EvaluaciónRiesgoCorrup 1'!$F$11&lt;76,F17=3,H17=10),$J$26,IF(AND(M17&gt;0,'[10]EvaluaciónRiesgoCorrup 1'!$F$11&gt;50,'[10]EvaluaciónRiesgoCorrup 1'!$F$11&lt;76,F17=3,H17=20),$K$26," ")))</f>
        <v xml:space="preserve"> </v>
      </c>
      <c r="AO17" s="28" t="str">
        <f>IF(AND(M17&gt;0,'[10]EvaluaciónRiesgoCorrup 1'!$F$11&gt;50,'[10]EvaluaciónRiesgoCorrup 1'!$F$11&lt;76,F17=4,H17=5),$H$27,IF(AND(M17&gt;0,'[10]EvaluaciónRiesgoCorrup 1'!$F$11&gt;50,'[10]EvaluaciónRiesgoCorrup 1'!$F$11&lt;76,F17=4,H17=10),$J$27,IF(AND(M17&gt;0,'[10]EvaluaciónRiesgoCorrup 1'!$F$11&gt;50,'[10]EvaluaciónRiesgoCorrup 1'!$F$11&lt;76,F17=4,H17=20),$K$27," ")))</f>
        <v xml:space="preserve"> </v>
      </c>
      <c r="AP17" s="28" t="str">
        <f>IF(AND(M17&gt;0,'[10]EvaluaciónRiesgoCorrup 1'!$F$11&gt;50,'[10]EvaluaciónRiesgoCorrup 1'!$F$11&lt;76,F17=5,H17=5),$H$28,IF(AND(M17&gt;0,'[10]EvaluaciónRiesgoCorrup 1'!$F$11&gt;50,'[10]EvaluaciónRiesgoCorrup 1'!$F$11&lt;76,F17=5,H17=10),$J$28,IF(AND(M17&gt;0,'[10]EvaluaciónRiesgoCorrup 1'!$F$11&gt;50,'[10]EvaluaciónRiesgoCorrup 1'!$F$11&lt;76,F17=5,H17=20),$K$28," ")))</f>
        <v xml:space="preserve"> </v>
      </c>
      <c r="AR17" s="29" t="s">
        <v>33</v>
      </c>
      <c r="AS17" s="28" t="str">
        <f>IF(AND(M17&gt;0,'[10]EvaluaciónRiesgoCorrup 1'!$F$11&lt;51,F17=1,H17=5),$H$25,IF(AND(M17&gt;0,'[10]EvaluaciónRiesgoCorrup 1'!$F$11&lt;51,F17=1,H17=10),$J$25,IF(AND(M17&gt;0,'[10]EvaluaciónRiesgoCorrup 1'!$F$11&lt;51,F17=1,H17=20),K$25," ")))</f>
        <v xml:space="preserve"> </v>
      </c>
      <c r="AT17" s="28" t="str">
        <f>IF(AND(M17&gt;0,'[10]EvaluaciónRiesgoCorrup 1'!$F$11&lt;51,F17=2,H17=5),$H$26,IF(AND(M17&gt;0,'[10]EvaluaciónRiesgoCorrup 1'!$F$11&lt;51,F17=2,H17=10),$J$26,IF(AND(M17&gt;0,'[10]EvaluaciónRiesgoCorrup 1'!$F$11&lt;51,F17=2,H17=20),K$26," ")))</f>
        <v xml:space="preserve"> </v>
      </c>
      <c r="AU17" s="28" t="str">
        <f>IF(AND(M17&gt;0,'[10]EvaluaciónRiesgoCorrup 1'!$F$11&lt;51,F17=3,H17=5),$H$27,IF(AND(M17&gt;0,'[10]EvaluaciónRiesgoCorrup 1'!$F$11&lt;51,F17=3,H17=10),$J$27,IF(AND(M17&gt;0,'[10]EvaluaciónRiesgoCorrup 1'!$F$11&lt;51,F17=3,H17=20),K$27," ")))</f>
        <v xml:space="preserve"> </v>
      </c>
      <c r="AV17" s="28" t="str">
        <f>IF(AND(M17&gt;0,'[10]EvaluaciónRiesgoCorrup 1'!$F$11&lt;51,F17=4,H17=5),$H$28,IF(AND(M17&gt;0,'[10]EvaluaciónRiesgoCorrup 1'!$F$11&lt;51,F17=4,H17=10),$J$28,IF(AND(M17&gt;0,'[10]EvaluaciónRiesgoCorrup 1'!$F$11&lt;51,F17=4,H17=20),K$28," ")))</f>
        <v xml:space="preserve"> </v>
      </c>
      <c r="AW17" s="28" t="str">
        <f>IF(AND(M17&gt;0,'[10]EvaluaciónRiesgoCorrup 1'!$F$11&lt;51,F17=5,H17=5),$H$29,IF(AND(M17&gt;0,'[10]EvaluaciónRiesgoCorrup 1'!$F$11&lt;51,F17=5,H17=10),$J$29,IF(AND(M17&gt;0,'[10]EvaluaciónRiesgoCorrup 1'!$F$11&lt;51,F17=5,H17=20),K$29," ")))</f>
        <v xml:space="preserve"> </v>
      </c>
      <c r="AZ17" s="29" t="s">
        <v>31</v>
      </c>
      <c r="BA17" s="28" t="str">
        <f>IF(AND(N17&gt;0,'[10]EvaluaciónRiesgoCorrup 1'!$F$11&gt;75,F17=1,H17=5),$H$25,IF(AND(N17&gt;0,'[10]EvaluaciónRiesgoCorrup 1'!$F$11&gt;75,F17=1,H17=10),$H$25,IF(AND(N17&gt;0,'[10]EvaluaciónRiesgoCorrup 1'!$F$11&gt;75,F17=1,H17=20),$H$25," ")))</f>
        <v xml:space="preserve"> </v>
      </c>
      <c r="BB17" s="28" t="str">
        <f>IF(AND(N17&gt;0,'[10]EvaluaciónRiesgoCorrup 1'!$F$11&gt;75,F17=2,H17=5),$H$26,IF(AND(N17&gt;0,'[10]EvaluaciónRiesgoCorrup 1'!$F$11&gt;75,F17=2,H17=10),$H$26,IF(AND(N17&gt;0,'[10]EvaluaciónRiesgoCorrup 1'!$F$11&gt;75,F17=2,H17=20),$H$26," ")))</f>
        <v xml:space="preserve"> </v>
      </c>
      <c r="BC17" s="28" t="str">
        <f>IF(AND(N17&gt;0,'[10]EvaluaciónRiesgoCorrup 1'!$F$11&gt;75,F17=3,H17=5),$H$27,IF(AND(N17&gt;0,'[10]EvaluaciónRiesgoCorrup 1'!$F$11&gt;75,F17=3,H17=10),$H$27,IF(AND(N17&gt;0,'[10]EvaluaciónRiesgoCorrup 1'!$F$11&gt;75,F17=3,H17=20),$H$27," ")))</f>
        <v xml:space="preserve"> </v>
      </c>
      <c r="BD17" s="28" t="str">
        <f>IF(AND(N17&gt;0,'[10]EvaluaciónRiesgoCorrup 1'!$F$11&gt;75,F17=4,H17=5),$H$28,IF(AND(N17&gt;0,'[10]EvaluaciónRiesgoCorrup 1'!$F$11&gt;75,F17=4,H17=10),$H$28,IF(AND(N17&gt;0,'[10]EvaluaciónRiesgoCorrup 1'!$F$11&gt;75,F17=4,H17=20),$H$28," ")))</f>
        <v xml:space="preserve"> </v>
      </c>
      <c r="BE17" s="28" t="str">
        <f>IF(AND(N17&gt;0,'[10]EvaluaciónRiesgoCorrup 1'!$F$11&gt;75,F17=5,H17=5),$H$29,IF(AND(N17&gt;0,'[10]EvaluaciónRiesgoCorrup 1'!$F$11&gt;75,F17=5,H17=10),$H$29,IF(AND(N17&gt;0,'[10]EvaluaciónRiesgoCorrup 1'!$F$11&gt;75,F17=5,H17=20),$H$29," ")))</f>
        <v xml:space="preserve"> </v>
      </c>
      <c r="BG17" s="29" t="s">
        <v>32</v>
      </c>
      <c r="BH17" s="28" t="str">
        <f>IF(AND(N17&gt;0,'[10]EvaluaciónRiesgoCorrup 1'!$F$11&gt;50,'[10]EvaluaciónRiesgoCorrup 1'!$F$11&lt;76,F17=1,H17=5),$H$25,IF(AND(N17&gt;0,'[10]EvaluaciónRiesgoCorrup 1'!$F$11&gt;50,'[10]EvaluaciónRiesgoCorrup 1'!$F$11&lt;76,F17=1,H17=10),$H$25,IF(AND(N17&gt;0,'[10]EvaluaciónRiesgoCorrup 1'!$F$11&gt;50,'[10]EvaluaciónRiesgoCorrup 1'!$F$11&lt;76,F17=1,H17=20),$J$25," ")))</f>
        <v xml:space="preserve"> </v>
      </c>
      <c r="BI17" s="28" t="str">
        <f>IF(AND(N17&gt;0,'[10]EvaluaciónRiesgoCorrup 1'!$F$11&gt;50,'[10]EvaluaciónRiesgoCorrup 1'!$F$11&lt;76,F17=2,H17=5),$H$26,IF(AND(N17&gt;0,'[10]EvaluaciónRiesgoCorrup 1'!$F$11&gt;50,'[10]EvaluaciónRiesgoCorrup 1'!$F$11&lt;76,F17=2,H17=10),$H$26,IF(AND(N17&gt;0,'[10]EvaluaciónRiesgoCorrup 1'!$F$11&gt;50,'[10]EvaluaciónRiesgoCorrup 1'!$F$11&lt;76,F17=2,H17=20),$J$26," ")))</f>
        <v xml:space="preserve"> </v>
      </c>
      <c r="BJ17" s="28" t="str">
        <f>IF(AND(N17&gt;0,'[10]EvaluaciónRiesgoCorrup 1'!$F$11&gt;50,'[10]EvaluaciónRiesgoCorrup 1'!$F$11&lt;76,F17=3,H17=5),$H$27,IF(AND(N17&gt;0,'[10]EvaluaciónRiesgoCorrup 1'!$F$11&gt;50,'[10]EvaluaciónRiesgoCorrup 1'!$F$11&lt;76,F17=3,H17=10),$H$27,IF(AND(N17&gt;0,'[10]EvaluaciónRiesgoCorrup 1'!$F$11&gt;50,'[10]EvaluaciónRiesgoCorrup 1'!$F$11&lt;76,F17=3,H17=20),$J$27," ")))</f>
        <v xml:space="preserve"> </v>
      </c>
      <c r="BK17" s="28" t="str">
        <f>IF(AND(N17&gt;0,'[10]EvaluaciónRiesgoCorrup 1'!$F$11&gt;50,'[10]EvaluaciónRiesgoCorrup 1'!$F$11&lt;76,F17=4,H17=5),$H$28,IF(AND(N17&gt;0,'[10]EvaluaciónRiesgoCorrup 1'!$F$11&gt;50,'[10]EvaluaciónRiesgoCorrup 1'!$F$11&lt;76,F17=4,H17=10),$H$28,IF(AND(N17&gt;0,'[10]EvaluaciónRiesgoCorrup 1'!$F$11&gt;50,'[10]EvaluaciónRiesgoCorrup 1'!$F$11&lt;76,F17=4,H17=20),$J$28," ")))</f>
        <v xml:space="preserve"> </v>
      </c>
      <c r="BL17" s="28" t="str">
        <f>IF(AND(N17&gt;0,'[10]EvaluaciónRiesgoCorrup 1'!$F$11&gt;50,'[10]EvaluaciónRiesgoCorrup 1'!$F$11&lt;76,F17=5,H17=5),$H$29,IF(AND(N17&gt;0,'[10]EvaluaciónRiesgoCorrup 1'!$F$11&gt;50,'[10]EvaluaciónRiesgoCorrup 1'!$F$11&lt;76,F17=5,H17=10),$H$29,IF(AND(N17&gt;0,'[10]EvaluaciónRiesgoCorrup 1'!$F$11&gt;50,'[10]EvaluaciónRiesgoCorrup 1'!$F$11&lt;76,F17=5,H17=20),$J$29," ")))</f>
        <v xml:space="preserve"> </v>
      </c>
      <c r="BN17" s="29" t="s">
        <v>33</v>
      </c>
      <c r="BO17" s="28" t="str">
        <f>IF(AND(N17&gt;0,'[10]EvaluaciónRiesgoCorrup 1'!$F$11&lt;51,F17=1,H17=5),$H$25,IF(AND(N17&gt;0,'[10]EvaluaciónRiesgoCorrup 1'!$F$11&lt;51,F17=1,H17=10),$J$25,IF(AND(N17&gt;0,'[10]EvaluaciónRiesgoCorrup 1'!$F$11&lt;51,F17=1,H17=20),$K$25," ")))</f>
        <v xml:space="preserve"> </v>
      </c>
      <c r="BP17" s="28" t="str">
        <f>IF(AND(N17&gt;0,'[10]EvaluaciónRiesgoCorrup 1'!$F$11&lt;51,F17=2,H17=5),$H$26,IF(AND(N17&gt;0,'[10]EvaluaciónRiesgoCorrup 1'!$F$11&lt;51,F17=2,H17=10),$J$26,IF(AND(N17&gt;0,'[10]EvaluaciónRiesgoCorrup 1'!$F$11&lt;51,F17=2,H17=20),$K$26," ")))</f>
        <v xml:space="preserve"> </v>
      </c>
      <c r="BQ17" s="28" t="str">
        <f>IF(AND(N17&gt;0,'[10]EvaluaciónRiesgoCorrup 1'!$F$11&lt;51,F17=3,H17=5),$H$27,IF(AND(N17&gt;0,'[10]EvaluaciónRiesgoCorrup 1'!$F$11&lt;51,F17=3,H17=10),$J$27,IF(AND(N17&gt;0,'[10]EvaluaciónRiesgoCorrup 1'!$F$11&lt;51,F17=3,H17=20),$K$27," ")))</f>
        <v xml:space="preserve"> </v>
      </c>
      <c r="BR17" s="28" t="str">
        <f>IF(AND(N17&gt;0,'[10]EvaluaciónRiesgoCorrup 1'!$F$11&lt;51,F17=4,H17=5),$H$28,IF(AND(N17&gt;0,'[10]EvaluaciónRiesgoCorrup 1'!$F$11&lt;51,F17=4,H17=10),$J$28,IF(AND(N17&gt;0,'[10]EvaluaciónRiesgoCorrup 1'!$F$11&lt;51,F17=4,H17=20),$K$28," ")))</f>
        <v xml:space="preserve"> </v>
      </c>
      <c r="BS17" s="28" t="str">
        <f>IF(AND(N17&gt;0,'[10]EvaluaciónRiesgoCorrup 1'!$F$11&lt;51,F17=5,H17=5),$H$29,IF(AND(N17&gt;0,'[10]EvaluaciónRiesgoCorrup 1'!$F$11&lt;51,F17=5,H17=10),$J$29,IF(AND(N17&gt;0,'[10]EvaluaciónRiesgoCorrup 1'!$F$11&lt;51,F17=5,H17=20),$K$29," ")))</f>
        <v xml:space="preserve"> </v>
      </c>
    </row>
    <row r="18" spans="1:71" ht="409.5" customHeight="1" x14ac:dyDescent="0.35">
      <c r="A18" s="137" t="s">
        <v>133</v>
      </c>
      <c r="B18" s="138" t="s">
        <v>134</v>
      </c>
      <c r="C18" s="139" t="s">
        <v>135</v>
      </c>
      <c r="D18" s="140" t="s">
        <v>136</v>
      </c>
      <c r="E18" s="141" t="s">
        <v>106</v>
      </c>
      <c r="F18" s="142">
        <v>1</v>
      </c>
      <c r="G18" s="143" t="s">
        <v>121</v>
      </c>
      <c r="H18" s="144">
        <v>3</v>
      </c>
      <c r="I18" s="145" t="s">
        <v>117</v>
      </c>
      <c r="J18" s="146" t="s">
        <v>49</v>
      </c>
      <c r="K18" s="147" t="s">
        <v>137</v>
      </c>
      <c r="L18" s="1077" t="s">
        <v>26</v>
      </c>
      <c r="M18" s="1078"/>
      <c r="N18" s="148"/>
      <c r="O18" s="168" t="s">
        <v>48</v>
      </c>
      <c r="P18" s="169" t="s">
        <v>128</v>
      </c>
      <c r="Q18" s="170" t="s">
        <v>115</v>
      </c>
      <c r="R18" s="171" t="s">
        <v>138</v>
      </c>
      <c r="S18" s="163" t="s">
        <v>139</v>
      </c>
      <c r="T18" s="161">
        <v>42947</v>
      </c>
      <c r="U18" s="881" t="s">
        <v>511</v>
      </c>
      <c r="V18" s="167" t="s">
        <v>131</v>
      </c>
      <c r="W18" s="165" t="s">
        <v>140</v>
      </c>
      <c r="Y18" s="28" t="str">
        <f>IF(AND(F18=1,H18=5),$H$25,IF(AND(F18=1,H18=10),$J$25,IF(AND(F18=1,H18=20),$K$25," ")))</f>
        <v xml:space="preserve"> </v>
      </c>
      <c r="Z18" s="28" t="str">
        <f>IF(AND(F18=2,H18=5),$H$26,IF(AND(F18=2,H18=10),$J$26,IF(AND(F18=2,H18=20),$K$26," ")))</f>
        <v xml:space="preserve"> </v>
      </c>
      <c r="AA18" s="28" t="str">
        <f>IF(AND(F18=3,H18=5),$H$27,IF(AND(F18=3,H18=10),$J$27,IF(AND(F18=3,H18=20),$K$27," ")))</f>
        <v xml:space="preserve"> </v>
      </c>
      <c r="AB18" s="28" t="str">
        <f>IF(AND(F18=4,H18=5),$H$28,IF(AND(F18=4,H18=10),$J$28,IF(AND(F18=4,H18=20),$K$28," ")))</f>
        <v xml:space="preserve"> </v>
      </c>
      <c r="AC18" s="28" t="str">
        <f>IF(AND(F18=5,H18=5),$H$29,IF(AND(F18=5,H18=10),$J$29,IF(AND(F18=5,H18=20),$K$29," ")))</f>
        <v xml:space="preserve"> </v>
      </c>
      <c r="AF18" s="28" t="str">
        <f>IF(AND(M18&gt;0,'[10]EvaluaciónRiesgoCorrup 1'!$F$11&gt;75,F18=1,H18=5),$H$25,IF(AND(M18&gt;0,'[10]EvaluaciónRiesgoCorrup 1'!$F$11&gt;75,F18=1,H18=10),$J$25,IF(AND(M18&gt;0,'[10]EvaluaciónRiesgoCorrup 1'!$F$11&gt;75,F18=1,H18=20),$K$25," ")))</f>
        <v xml:space="preserve"> </v>
      </c>
      <c r="AG18" s="28" t="str">
        <f>IF(AND(M18&gt;0,'[10]EvaluaciónRiesgoCorrup 1'!$F$11&gt;75,F18=2,H18=5),$H$25,IF(AND(M18&gt;0,'[10]EvaluaciónRiesgoCorrup 1'!$F$11&gt;75,F18=2,H18=10),$J$25,IF(AND(M18&gt;0,'[10]EvaluaciónRiesgoCorrup 1'!$F$11&gt;75,F18=2,H18=20),$K$25," ")))</f>
        <v xml:space="preserve"> </v>
      </c>
      <c r="AH18" s="28" t="str">
        <f>IF(AND(M18&gt;0,'[10]EvaluaciónRiesgoCorrup 1'!$F$11&gt;75,F18=3,H18=5),$H$25,IF(AND(M18&gt;0,'[10]EvaluaciónRiesgoCorrup 1'!$F$11&gt;75,F18=3,H18=10),$J$25,IF(AND(M18&gt;0,'[10]EvaluaciónRiesgoCorrup 1'!$F$11&gt;75,F18=3,H18=20),$K$25," ")))</f>
        <v xml:space="preserve"> </v>
      </c>
      <c r="AI18" s="28" t="str">
        <f>IF(AND(M18&gt;0,'[10]EvaluaciónRiesgoCorrup 1'!$F$11&gt;75,F18=4,H18=5),$H$26,IF(AND(M18&gt;0,'[10]EvaluaciónRiesgoCorrup 1'!$F$11&gt;75,F18=4,H18=10),$J$26,IF(AND(M18&gt;0,'[10]EvaluaciónRiesgoCorrup 1'!$F$11&gt;75,F18=4,H18=20),$K$26," ")))</f>
        <v xml:space="preserve"> </v>
      </c>
      <c r="AJ18" s="28" t="str">
        <f>IF(AND(M18&gt;0,'[10]EvaluaciónRiesgoCorrup 1'!$F$11&gt;75,F18=5,H18=5),$H$27,IF(AND(M18&gt;0,'[10]EvaluaciónRiesgoCorrup 1'!$F$11&gt;75,F18=5,H18=10),$J$27,IF(AND(M18&gt;0,'[10]EvaluaciónRiesgoCorrup 1'!$F$11&gt;75,F18=5,H18=20),$K$27," ")))</f>
        <v xml:space="preserve"> </v>
      </c>
      <c r="AL18" s="28" t="str">
        <f>IF(AND(M18&gt;0,'[10]EvaluaciónRiesgoCorrup 1'!$F$11&gt;50,'[10]EvaluaciónRiesgoCorrup 1'!$F$11&lt;76,F18=1,H18=5),$H$25,IF(AND(M18&gt;0,'[10]EvaluaciónRiesgoCorrup 1'!$F$11&gt;50,'[10]EvaluaciónRiesgoCorrup 1'!$F$11&lt;76,F18=1,H18=10),$J$25,IF(AND(M18&gt;0,'[10]EvaluaciónRiesgoCorrup 1'!$F$11&gt;50,'[10]EvaluaciónRiesgoCorrup 1'!$F$11&lt;76,F18=1,H18=20),$K$25," ")))</f>
        <v xml:space="preserve"> </v>
      </c>
      <c r="AM18" s="28" t="str">
        <f>IF(AND(M18&gt;0,'[10]EvaluaciónRiesgoCorrup 1'!$F$11&gt;50,'[10]EvaluaciónRiesgoCorrup 1'!$F$11&lt;76,F18=2,H18=5),$H$25,IF(AND(M18&gt;0,'[10]EvaluaciónRiesgoCorrup 1'!$F$11&gt;50,'[10]EvaluaciónRiesgoCorrup 1'!$F$11&lt;76,F18=2,H18=10),$J$25,IF(AND(M18&gt;0,'[10]EvaluaciónRiesgoCorrup 1'!$F$11&gt;50,'[10]EvaluaciónRiesgoCorrup 1'!$F$11&lt;76,F18=2,H18=20),$K$25," ")))</f>
        <v xml:space="preserve"> </v>
      </c>
      <c r="AN18" s="28" t="str">
        <f>IF(AND(M18&gt;0,'[10]EvaluaciónRiesgoCorrup 1'!$F$11&gt;50,'[10]EvaluaciónRiesgoCorrup 1'!$F$11&lt;76,F18=3,H18=5),$H$26,IF(AND(M18&gt;0,'[10]EvaluaciónRiesgoCorrup 1'!$F$11&gt;50,'[10]EvaluaciónRiesgoCorrup 1'!$F$11&lt;76,F18=3,H18=10),$J$26,IF(AND(M18&gt;0,'[10]EvaluaciónRiesgoCorrup 1'!$F$11&gt;50,'[10]EvaluaciónRiesgoCorrup 1'!$F$11&lt;76,F18=3,H18=20),$K$26," ")))</f>
        <v xml:space="preserve"> </v>
      </c>
      <c r="AO18" s="28" t="str">
        <f>IF(AND(M18&gt;0,'[10]EvaluaciónRiesgoCorrup 1'!$F$11&gt;50,'[10]EvaluaciónRiesgoCorrup 1'!$F$11&lt;76,F18=4,H18=5),$H$27,IF(AND(M18&gt;0,'[10]EvaluaciónRiesgoCorrup 1'!$F$11&gt;50,'[10]EvaluaciónRiesgoCorrup 1'!$F$11&lt;76,F18=4,H18=10),$J$27,IF(AND(M18&gt;0,'[10]EvaluaciónRiesgoCorrup 1'!$F$11&gt;50,'[10]EvaluaciónRiesgoCorrup 1'!$F$11&lt;76,F18=4,H18=20),$K$27," ")))</f>
        <v xml:space="preserve"> </v>
      </c>
      <c r="AP18" s="28" t="str">
        <f>IF(AND(M18&gt;0,'[10]EvaluaciónRiesgoCorrup 1'!$F$11&gt;50,'[10]EvaluaciónRiesgoCorrup 1'!$F$11&lt;76,F18=5,H18=5),$H$28,IF(AND(M18&gt;0,'[10]EvaluaciónRiesgoCorrup 1'!$F$11&gt;50,'[10]EvaluaciónRiesgoCorrup 1'!$F$11&lt;76,F18=5,H18=10),$J$28,IF(AND(M18&gt;0,'[10]EvaluaciónRiesgoCorrup 1'!$F$11&gt;50,'[10]EvaluaciónRiesgoCorrup 1'!$F$11&lt;76,F18=5,H18=20),$K$28," ")))</f>
        <v xml:space="preserve"> </v>
      </c>
      <c r="AS18" s="28" t="str">
        <f>IF(AND(M18&gt;0,'[10]EvaluaciónRiesgoCorrup 1'!$F$11&lt;51,F18=1,H18=5),$H$25,IF(AND(M18&gt;0,'[10]EvaluaciónRiesgoCorrup 1'!$F$11&lt;51,F18=1,H18=10),$J$25,IF(AND(M18&gt;0,'[10]EvaluaciónRiesgoCorrup 1'!$F$11&lt;51,F18=1,H18=20),K$25," ")))</f>
        <v xml:space="preserve"> </v>
      </c>
      <c r="AT18" s="28" t="str">
        <f>IF(AND(M18&gt;0,'[10]EvaluaciónRiesgoCorrup 1'!$F$11&lt;51,F18=2,H18=5),$H$26,IF(AND(M18&gt;0,'[10]EvaluaciónRiesgoCorrup 1'!$F$11&lt;51,F18=2,H18=10),$J$26,IF(AND(M18&gt;0,'[10]EvaluaciónRiesgoCorrup 1'!$F$11&lt;51,F18=2,H18=20),K$26," ")))</f>
        <v xml:space="preserve"> </v>
      </c>
      <c r="AU18" s="28" t="str">
        <f>IF(AND(M18&gt;0,'[10]EvaluaciónRiesgoCorrup 1'!$F$11&lt;51,F18=3,H18=5),$H$27,IF(AND(M18&gt;0,'[10]EvaluaciónRiesgoCorrup 1'!$F$11&lt;51,F18=3,H18=10),$J$27,IF(AND(M18&gt;0,'[10]EvaluaciónRiesgoCorrup 1'!$F$11&lt;51,F18=3,H18=20),K$27," ")))</f>
        <v xml:space="preserve"> </v>
      </c>
      <c r="AV18" s="28" t="str">
        <f>IF(AND(M18&gt;0,'[10]EvaluaciónRiesgoCorrup 1'!$F$11&lt;51,F18=4,H18=5),$H$28,IF(AND(M18&gt;0,'[10]EvaluaciónRiesgoCorrup 1'!$F$11&lt;51,F18=4,H18=10),$J$28,IF(AND(M18&gt;0,'[10]EvaluaciónRiesgoCorrup 1'!$F$11&lt;51,F18=4,H18=20),K$28," ")))</f>
        <v xml:space="preserve"> </v>
      </c>
      <c r="AW18" s="28" t="str">
        <f>IF(AND(M18&gt;0,'[10]EvaluaciónRiesgoCorrup 1'!$F$11&lt;51,F18=5,H18=5),$H$29,IF(AND(M18&gt;0,'[10]EvaluaciónRiesgoCorrup 1'!$F$11&lt;51,F18=5,H18=10),$J$29,IF(AND(M18&gt;0,'[10]EvaluaciónRiesgoCorrup 1'!$F$11&lt;51,F18=5,H18=20),K$29," ")))</f>
        <v xml:space="preserve"> </v>
      </c>
      <c r="BA18" s="28" t="str">
        <f>IF(AND(N18&gt;0,'[10]EvaluaciónRiesgoCorrup 1'!$F$11&gt;75,F18=1,H18=5),$H$25,IF(AND(N18&gt;0,'[10]EvaluaciónRiesgoCorrup 1'!$F$11&gt;75,F18=1,H18=10),$H$25,IF(AND(N18&gt;0,'[10]EvaluaciónRiesgoCorrup 1'!$F$11&gt;75,F18=1,H18=20),$H$25," ")))</f>
        <v xml:space="preserve"> </v>
      </c>
      <c r="BB18" s="28" t="str">
        <f>IF(AND(N18&gt;0,'[10]EvaluaciónRiesgoCorrup 1'!$F$11&gt;75,F18=2,H18=5),$H$26,IF(AND(N18&gt;0,'[10]EvaluaciónRiesgoCorrup 1'!$F$11&gt;75,F18=2,H18=10),$H$26,IF(AND(N18&gt;0,'[10]EvaluaciónRiesgoCorrup 1'!$F$11&gt;75,F18=2,H18=20),$H$26," ")))</f>
        <v xml:space="preserve"> </v>
      </c>
      <c r="BC18" s="28" t="str">
        <f>IF(AND(N18&gt;0,'[10]EvaluaciónRiesgoCorrup 1'!$F$11&gt;75,F18=3,H18=5),$H$27,IF(AND(N18&gt;0,'[10]EvaluaciónRiesgoCorrup 1'!$F$11&gt;75,F18=3,H18=10),$H$27,IF(AND(N18&gt;0,'[10]EvaluaciónRiesgoCorrup 1'!$F$11&gt;75,F18=3,H18=20),$H$27," ")))</f>
        <v xml:space="preserve"> </v>
      </c>
      <c r="BD18" s="28" t="str">
        <f>IF(AND(N18&gt;0,'[10]EvaluaciónRiesgoCorrup 1'!$F$11&gt;75,F18=4,H18=5),$H$28,IF(AND(N18&gt;0,'[10]EvaluaciónRiesgoCorrup 1'!$F$11&gt;75,F18=4,H18=10),$H$28,IF(AND(N18&gt;0,'[10]EvaluaciónRiesgoCorrup 1'!$F$11&gt;75,F18=4,H18=20),$H$28," ")))</f>
        <v xml:space="preserve"> </v>
      </c>
      <c r="BE18" s="28" t="str">
        <f>IF(AND(N18&gt;0,'[10]EvaluaciónRiesgoCorrup 1'!$F$11&gt;75,F18=5,H18=5),$H$29,IF(AND(N18&gt;0,'[10]EvaluaciónRiesgoCorrup 1'!$F$11&gt;75,F18=5,H18=10),$H$29,IF(AND(N18&gt;0,'[10]EvaluaciónRiesgoCorrup 1'!$F$11&gt;75,F18=5,H18=20),$H$29," ")))</f>
        <v xml:space="preserve"> </v>
      </c>
      <c r="BH18" s="28" t="str">
        <f>IF(AND(N18&gt;0,'[10]EvaluaciónRiesgoCorrup 1'!$F$11&gt;50,'[10]EvaluaciónRiesgoCorrup 1'!$F$11&lt;76,F18=1,H18=5),$H$25,IF(AND(N18&gt;0,'[10]EvaluaciónRiesgoCorrup 1'!$F$11&gt;50,'[10]EvaluaciónRiesgoCorrup 1'!$F$11&lt;76,F18=1,H18=10),$H$25,IF(AND(N18&gt;0,'[10]EvaluaciónRiesgoCorrup 1'!$F$11&gt;50,'[10]EvaluaciónRiesgoCorrup 1'!$F$11&lt;76,F18=1,H18=20),$J$25," ")))</f>
        <v xml:space="preserve"> </v>
      </c>
      <c r="BI18" s="28" t="str">
        <f>IF(AND(N18&gt;0,'[10]EvaluaciónRiesgoCorrup 1'!$F$11&gt;50,'[10]EvaluaciónRiesgoCorrup 1'!$F$11&lt;76,F18=2,H18=5),$H$26,IF(AND(N18&gt;0,'[10]EvaluaciónRiesgoCorrup 1'!$F$11&gt;50,'[10]EvaluaciónRiesgoCorrup 1'!$F$11&lt;76,F18=2,H18=10),$H$26,IF(AND(N18&gt;0,'[10]EvaluaciónRiesgoCorrup 1'!$F$11&gt;50,'[10]EvaluaciónRiesgoCorrup 1'!$F$11&lt;76,F18=2,H18=20),$J$26," ")))</f>
        <v xml:space="preserve"> </v>
      </c>
      <c r="BJ18" s="28" t="str">
        <f>IF(AND(N18&gt;0,'[10]EvaluaciónRiesgoCorrup 1'!$F$11&gt;50,'[10]EvaluaciónRiesgoCorrup 1'!$F$11&lt;76,F18=3,H18=5),$H$27,IF(AND(N18&gt;0,'[10]EvaluaciónRiesgoCorrup 1'!$F$11&gt;50,'[10]EvaluaciónRiesgoCorrup 1'!$F$11&lt;76,F18=3,H18=10),$H$27,IF(AND(N18&gt;0,'[10]EvaluaciónRiesgoCorrup 1'!$F$11&gt;50,'[10]EvaluaciónRiesgoCorrup 1'!$F$11&lt;76,F18=3,H18=20),$J$27," ")))</f>
        <v xml:space="preserve"> </v>
      </c>
      <c r="BK18" s="28" t="str">
        <f>IF(AND(N18&gt;0,'[10]EvaluaciónRiesgoCorrup 1'!$F$11&gt;50,'[10]EvaluaciónRiesgoCorrup 1'!$F$11&lt;76,F18=4,H18=5),$H$28,IF(AND(N18&gt;0,'[10]EvaluaciónRiesgoCorrup 1'!$F$11&gt;50,'[10]EvaluaciónRiesgoCorrup 1'!$F$11&lt;76,F18=4,H18=10),$H$28,IF(AND(N18&gt;0,'[10]EvaluaciónRiesgoCorrup 1'!$F$11&gt;50,'[10]EvaluaciónRiesgoCorrup 1'!$F$11&lt;76,F18=4,H18=20),$J$28," ")))</f>
        <v xml:space="preserve"> </v>
      </c>
      <c r="BL18" s="28" t="str">
        <f>IF(AND(N18&gt;0,'[10]EvaluaciónRiesgoCorrup 1'!$F$11&gt;50,'[10]EvaluaciónRiesgoCorrup 1'!$F$11&lt;76,F18=5,H18=5),$H$29,IF(AND(N18&gt;0,'[10]EvaluaciónRiesgoCorrup 1'!$F$11&gt;50,'[10]EvaluaciónRiesgoCorrup 1'!$F$11&lt;76,F18=5,H18=10),$H$29,IF(AND(N18&gt;0,'[10]EvaluaciónRiesgoCorrup 1'!$F$11&gt;50,'[10]EvaluaciónRiesgoCorrup 1'!$F$11&lt;76,F18=5,H18=20),$J$29," ")))</f>
        <v xml:space="preserve"> </v>
      </c>
      <c r="BO18" s="28" t="str">
        <f>IF(AND(N18&gt;0,'[10]EvaluaciónRiesgoCorrup 1'!$F$11&lt;51,F18=1,H18=5),$H$25,IF(AND(N18&gt;0,'[10]EvaluaciónRiesgoCorrup 1'!$F$11&lt;51,F18=1,H18=10),$J$25,IF(AND(N18&gt;0,'[10]EvaluaciónRiesgoCorrup 1'!$F$11&lt;51,F18=1,H18=20),$K$25," ")))</f>
        <v xml:space="preserve"> </v>
      </c>
      <c r="BP18" s="28" t="str">
        <f>IF(AND(N18&gt;0,'[10]EvaluaciónRiesgoCorrup 1'!$F$11&lt;51,F18=2,H18=5),$H$26,IF(AND(N18&gt;0,'[10]EvaluaciónRiesgoCorrup 1'!$F$11&lt;51,F18=2,H18=10),$J$26,IF(AND(N18&gt;0,'[10]EvaluaciónRiesgoCorrup 1'!$F$11&lt;51,F18=2,H18=20),$K$26," ")))</f>
        <v xml:space="preserve"> </v>
      </c>
      <c r="BQ18" s="28" t="str">
        <f>IF(AND(N18&gt;0,'[10]EvaluaciónRiesgoCorrup 1'!$F$11&lt;51,F18=3,H18=5),$H$27,IF(AND(N18&gt;0,'[10]EvaluaciónRiesgoCorrup 1'!$F$11&lt;51,F18=3,H18=10),$J$27,IF(AND(N18&gt;0,'[10]EvaluaciónRiesgoCorrup 1'!$F$11&lt;51,F18=3,H18=20),$K$27," ")))</f>
        <v xml:space="preserve"> </v>
      </c>
      <c r="BR18" s="28" t="str">
        <f>IF(AND(N18&gt;0,'[10]EvaluaciónRiesgoCorrup 1'!$F$11&lt;51,F18=4,H18=5),$H$28,IF(AND(N18&gt;0,'[10]EvaluaciónRiesgoCorrup 1'!$F$11&lt;51,F18=4,H18=10),$J$28,IF(AND(N18&gt;0,'[10]EvaluaciónRiesgoCorrup 1'!$F$11&lt;51,F18=4,H18=20),$K$28," ")))</f>
        <v xml:space="preserve"> </v>
      </c>
      <c r="BS18" s="28" t="str">
        <f>IF(AND(N18&gt;0,'[10]EvaluaciónRiesgoCorrup 1'!$F$11&lt;51,F18=5,H18=5),$H$29,IF(AND(N18&gt;0,'[10]EvaluaciónRiesgoCorrup 1'!$F$11&lt;51,F18=5,H18=10),$J$29,IF(AND(N18&gt;0,'[10]EvaluaciónRiesgoCorrup 1'!$F$11&lt;51,F18=5,H18=20),$K$29," ")))</f>
        <v xml:space="preserve"> </v>
      </c>
    </row>
    <row r="19" spans="1:71" ht="409.5" customHeight="1" x14ac:dyDescent="0.35">
      <c r="A19" s="149" t="s">
        <v>141</v>
      </c>
      <c r="B19" s="150" t="s">
        <v>142</v>
      </c>
      <c r="C19" s="151" t="s">
        <v>143</v>
      </c>
      <c r="D19" s="152" t="s">
        <v>126</v>
      </c>
      <c r="E19" s="153" t="s">
        <v>119</v>
      </c>
      <c r="F19" s="154">
        <v>1</v>
      </c>
      <c r="G19" s="155" t="s">
        <v>121</v>
      </c>
      <c r="H19" s="156">
        <v>20</v>
      </c>
      <c r="I19" s="157" t="s">
        <v>122</v>
      </c>
      <c r="J19" s="158" t="s">
        <v>49</v>
      </c>
      <c r="K19" s="159" t="s">
        <v>144</v>
      </c>
      <c r="L19" s="1079" t="s">
        <v>10</v>
      </c>
      <c r="M19" s="1079"/>
      <c r="N19" s="160"/>
      <c r="O19" s="172" t="s">
        <v>48</v>
      </c>
      <c r="P19" s="173" t="s">
        <v>128</v>
      </c>
      <c r="Q19" s="174" t="s">
        <v>70</v>
      </c>
      <c r="R19" s="175" t="s">
        <v>145</v>
      </c>
      <c r="S19" s="164" t="s">
        <v>146</v>
      </c>
      <c r="T19" s="162">
        <v>42947</v>
      </c>
      <c r="U19" s="882" t="s">
        <v>512</v>
      </c>
      <c r="V19" s="167" t="s">
        <v>131</v>
      </c>
      <c r="W19" s="166" t="s">
        <v>147</v>
      </c>
      <c r="Y19" s="28" t="str">
        <f>IF(AND(F19=1,H19=5),$H$25,IF(AND(F19=1,H19=10),$J$25,IF(AND(F19=1,H19=20),$K$25," ")))</f>
        <v>M</v>
      </c>
      <c r="Z19" s="28" t="str">
        <f>IF(AND(F19=2,H19=5),$H$26,IF(AND(F19=2,H19=10),$J$26,IF(AND(F19=2,H19=20),$K$26," ")))</f>
        <v xml:space="preserve"> </v>
      </c>
      <c r="AA19" s="28" t="str">
        <f>IF(AND(F19=3,H19=5),$H$27,IF(AND(F19=3,H19=10),$J$27,IF(AND(F19=3,H19=20),$K$27," ")))</f>
        <v xml:space="preserve"> </v>
      </c>
      <c r="AB19" s="28" t="str">
        <f>IF(AND(F19=4,H19=5),$H$28,IF(AND(F19=4,H19=10),$J$28,IF(AND(F19=4,H19=20),$K$28," ")))</f>
        <v xml:space="preserve"> </v>
      </c>
      <c r="AC19" s="28" t="str">
        <f>IF(AND(F19=5,H19=5),$H$29,IF(AND(F19=5,H19=10),$J$29,IF(AND(F19=5,H19=20),$K$29," ")))</f>
        <v xml:space="preserve"> </v>
      </c>
      <c r="AF19" s="28" t="str">
        <f>IF(AND(M19&gt;0,'[10]EvaluaciónRiesgoCorrup 1'!$F$11&gt;75,F19=1,H19=5),$H$25,IF(AND(M19&gt;0,'[10]EvaluaciónRiesgoCorrup 1'!$F$11&gt;75,F19=1,H19=10),$J$25,IF(AND(M19&gt;0,'[10]EvaluaciónRiesgoCorrup 1'!$F$11&gt;75,F19=1,H19=20),$K$25," ")))</f>
        <v xml:space="preserve"> </v>
      </c>
      <c r="AG19" s="28" t="str">
        <f>IF(AND(M19&gt;0,'[10]EvaluaciónRiesgoCorrup 1'!$F$11&gt;75,F19=2,H19=5),$H$25,IF(AND(M19&gt;0,'[10]EvaluaciónRiesgoCorrup 1'!$F$11&gt;75,F19=2,H19=10),$J$25,IF(AND(M19&gt;0,'[10]EvaluaciónRiesgoCorrup 1'!$F$11&gt;75,F19=2,H19=20),$K$25," ")))</f>
        <v xml:space="preserve"> </v>
      </c>
      <c r="AH19" s="28" t="str">
        <f>IF(AND(M19&gt;0,'[10]EvaluaciónRiesgoCorrup 1'!$F$11&gt;75,F19=3,H19=5),$H$25,IF(AND(M19&gt;0,'[10]EvaluaciónRiesgoCorrup 1'!$F$11&gt;75,F19=3,H19=10),$J$25,IF(AND(M19&gt;0,'[10]EvaluaciónRiesgoCorrup 1'!$F$11&gt;75,F19=3,H19=20),$K$25," ")))</f>
        <v xml:space="preserve"> </v>
      </c>
      <c r="AI19" s="28" t="str">
        <f>IF(AND(M19&gt;0,'[10]EvaluaciónRiesgoCorrup 1'!$F$11&gt;75,F19=4,H19=5),$H$26,IF(AND(M19&gt;0,'[10]EvaluaciónRiesgoCorrup 1'!$F$11&gt;75,F19=4,H19=10),$J$26,IF(AND(M19&gt;0,'[10]EvaluaciónRiesgoCorrup 1'!$F$11&gt;75,F19=4,H19=20),$K$26," ")))</f>
        <v xml:space="preserve"> </v>
      </c>
      <c r="AJ19" s="28" t="str">
        <f>IF(AND(M19&gt;0,'[10]EvaluaciónRiesgoCorrup 1'!$F$11&gt;75,F19=5,H19=5),$H$27,IF(AND(M19&gt;0,'[10]EvaluaciónRiesgoCorrup 1'!$F$11&gt;75,F19=5,H19=10),$J$27,IF(AND(M19&gt;0,'[10]EvaluaciónRiesgoCorrup 1'!$F$11&gt;75,F19=5,H19=20),$K$27," ")))</f>
        <v xml:space="preserve"> </v>
      </c>
      <c r="AL19" s="28" t="str">
        <f>IF(AND(M19&gt;0,'[10]EvaluaciónRiesgoCorrup 1'!$F$11&gt;50,'[10]EvaluaciónRiesgoCorrup 1'!$F$11&lt;76,F19=1,H19=5),$H$25,IF(AND(M19&gt;0,'[10]EvaluaciónRiesgoCorrup 1'!$F$11&gt;50,'[10]EvaluaciónRiesgoCorrup 1'!$F$11&lt;76,F19=1,H19=10),$J$25,IF(AND(M19&gt;0,'[10]EvaluaciónRiesgoCorrup 1'!$F$11&gt;50,'[10]EvaluaciónRiesgoCorrup 1'!$F$11&lt;76,F19=1,H19=20),$K$25," ")))</f>
        <v xml:space="preserve"> </v>
      </c>
      <c r="AM19" s="28" t="str">
        <f>IF(AND(M19&gt;0,'[10]EvaluaciónRiesgoCorrup 1'!$F$11&gt;50,'[10]EvaluaciónRiesgoCorrup 1'!$F$11&lt;76,F19=2,H19=5),$H$25,IF(AND(M19&gt;0,'[10]EvaluaciónRiesgoCorrup 1'!$F$11&gt;50,'[10]EvaluaciónRiesgoCorrup 1'!$F$11&lt;76,F19=2,H19=10),$J$25,IF(AND(M19&gt;0,'[10]EvaluaciónRiesgoCorrup 1'!$F$11&gt;50,'[10]EvaluaciónRiesgoCorrup 1'!$F$11&lt;76,F19=2,H19=20),$K$25," ")))</f>
        <v xml:space="preserve"> </v>
      </c>
      <c r="AN19" s="28" t="str">
        <f>IF(AND(M19&gt;0,'[10]EvaluaciónRiesgoCorrup 1'!$F$11&gt;50,'[10]EvaluaciónRiesgoCorrup 1'!$F$11&lt;76,F19=3,H19=5),$H$26,IF(AND(M19&gt;0,'[10]EvaluaciónRiesgoCorrup 1'!$F$11&gt;50,'[10]EvaluaciónRiesgoCorrup 1'!$F$11&lt;76,F19=3,H19=10),$J$26,IF(AND(M19&gt;0,'[10]EvaluaciónRiesgoCorrup 1'!$F$11&gt;50,'[10]EvaluaciónRiesgoCorrup 1'!$F$11&lt;76,F19=3,H19=20),$K$26," ")))</f>
        <v xml:space="preserve"> </v>
      </c>
      <c r="AO19" s="28" t="str">
        <f>IF(AND(M19&gt;0,'[10]EvaluaciónRiesgoCorrup 1'!$F$11&gt;50,'[10]EvaluaciónRiesgoCorrup 1'!$F$11&lt;76,F19=4,H19=5),$H$27,IF(AND(M19&gt;0,'[10]EvaluaciónRiesgoCorrup 1'!$F$11&gt;50,'[10]EvaluaciónRiesgoCorrup 1'!$F$11&lt;76,F19=4,H19=10),$J$27,IF(AND(M19&gt;0,'[10]EvaluaciónRiesgoCorrup 1'!$F$11&gt;50,'[10]EvaluaciónRiesgoCorrup 1'!$F$11&lt;76,F19=4,H19=20),$K$27," ")))</f>
        <v xml:space="preserve"> </v>
      </c>
      <c r="AP19" s="28" t="str">
        <f>IF(AND(M19&gt;0,'[10]EvaluaciónRiesgoCorrup 1'!$F$11&gt;50,'[10]EvaluaciónRiesgoCorrup 1'!$F$11&lt;76,F19=5,H19=5),$H$28,IF(AND(M19&gt;0,'[10]EvaluaciónRiesgoCorrup 1'!$F$11&gt;50,'[10]EvaluaciónRiesgoCorrup 1'!$F$11&lt;76,F19=5,H19=10),$J$28,IF(AND(M19&gt;0,'[10]EvaluaciónRiesgoCorrup 1'!$F$11&gt;50,'[10]EvaluaciónRiesgoCorrup 1'!$F$11&lt;76,F19=5,H19=20),$K$28," ")))</f>
        <v xml:space="preserve"> </v>
      </c>
      <c r="AS19" s="28" t="str">
        <f>IF(AND(M19&gt;0,'[10]EvaluaciónRiesgoCorrup 1'!$F$11&lt;51,F19=1,H19=5),$H$25,IF(AND(M19&gt;0,'[10]EvaluaciónRiesgoCorrup 1'!$F$11&lt;51,F19=1,H19=10),$J$25,IF(AND(M19&gt;0,'[10]EvaluaciónRiesgoCorrup 1'!$F$11&lt;51,F19=1,H19=20),K$25," ")))</f>
        <v xml:space="preserve"> </v>
      </c>
      <c r="AT19" s="28" t="str">
        <f>IF(AND(M19&gt;0,'[10]EvaluaciónRiesgoCorrup 1'!$F$11&lt;51,F19=2,H19=5),$H$26,IF(AND(M19&gt;0,'[10]EvaluaciónRiesgoCorrup 1'!$F$11&lt;51,F19=2,H19=10),$J$26,IF(AND(M19&gt;0,'[10]EvaluaciónRiesgoCorrup 1'!$F$11&lt;51,F19=2,H19=20),K$26," ")))</f>
        <v xml:space="preserve"> </v>
      </c>
      <c r="AU19" s="28" t="str">
        <f>IF(AND(M19&gt;0,'[10]EvaluaciónRiesgoCorrup 1'!$F$11&lt;51,F19=3,H19=5),$H$27,IF(AND(M19&gt;0,'[10]EvaluaciónRiesgoCorrup 1'!$F$11&lt;51,F19=3,H19=10),$J$27,IF(AND(M19&gt;0,'[10]EvaluaciónRiesgoCorrup 1'!$F$11&lt;51,F19=3,H19=20),K$27," ")))</f>
        <v xml:space="preserve"> </v>
      </c>
      <c r="AV19" s="28" t="str">
        <f>IF(AND(M19&gt;0,'[10]EvaluaciónRiesgoCorrup 1'!$F$11&lt;51,F19=4,H19=5),$H$28,IF(AND(M19&gt;0,'[10]EvaluaciónRiesgoCorrup 1'!$F$11&lt;51,F19=4,H19=10),$J$28,IF(AND(M19&gt;0,'[10]EvaluaciónRiesgoCorrup 1'!$F$11&lt;51,F19=4,H19=20),K$28," ")))</f>
        <v xml:space="preserve"> </v>
      </c>
      <c r="AW19" s="28" t="str">
        <f>IF(AND(M19&gt;0,'[10]EvaluaciónRiesgoCorrup 1'!$F$11&lt;51,F19=5,H19=5),$H$29,IF(AND(M19&gt;0,'[10]EvaluaciónRiesgoCorrup 1'!$F$11&lt;51,F19=5,H19=10),$J$29,IF(AND(M19&gt;0,'[10]EvaluaciónRiesgoCorrup 1'!$F$11&lt;51,F19=5,H19=20),K$29," ")))</f>
        <v xml:space="preserve"> </v>
      </c>
      <c r="BA19" s="28" t="str">
        <f>IF(AND(N19&gt;0,'[10]EvaluaciónRiesgoCorrup 1'!$F$11&gt;75,F19=1,H19=5),$H$25,IF(AND(N19&gt;0,'[10]EvaluaciónRiesgoCorrup 1'!$F$11&gt;75,F19=1,H19=10),$H$25,IF(AND(N19&gt;0,'[10]EvaluaciónRiesgoCorrup 1'!$F$11&gt;75,F19=1,H19=20),$H$25," ")))</f>
        <v xml:space="preserve"> </v>
      </c>
      <c r="BB19" s="28" t="str">
        <f>IF(AND(N19&gt;0,'[10]EvaluaciónRiesgoCorrup 1'!$F$11&gt;75,F19=2,H19=5),$H$26,IF(AND(N19&gt;0,'[10]EvaluaciónRiesgoCorrup 1'!$F$11&gt;75,F19=2,H19=10),$H$26,IF(AND(N19&gt;0,'[10]EvaluaciónRiesgoCorrup 1'!$F$11&gt;75,F19=2,H19=20),$H$26," ")))</f>
        <v xml:space="preserve"> </v>
      </c>
      <c r="BC19" s="28" t="str">
        <f>IF(AND(N19&gt;0,'[10]EvaluaciónRiesgoCorrup 1'!$F$11&gt;75,F19=3,H19=5),$H$27,IF(AND(N19&gt;0,'[10]EvaluaciónRiesgoCorrup 1'!$F$11&gt;75,F19=3,H19=10),$H$27,IF(AND(N19&gt;0,'[10]EvaluaciónRiesgoCorrup 1'!$F$11&gt;75,F19=3,H19=20),$H$27," ")))</f>
        <v xml:space="preserve"> </v>
      </c>
      <c r="BD19" s="28" t="str">
        <f>IF(AND(N19&gt;0,'[10]EvaluaciónRiesgoCorrup 1'!$F$11&gt;75,F19=4,H19=5),$H$28,IF(AND(N19&gt;0,'[10]EvaluaciónRiesgoCorrup 1'!$F$11&gt;75,F19=4,H19=10),$H$28,IF(AND(N19&gt;0,'[10]EvaluaciónRiesgoCorrup 1'!$F$11&gt;75,F19=4,H19=20),$H$28," ")))</f>
        <v xml:space="preserve"> </v>
      </c>
      <c r="BE19" s="28" t="str">
        <f>IF(AND(N19&gt;0,'[10]EvaluaciónRiesgoCorrup 1'!$F$11&gt;75,F19=5,H19=5),$H$29,IF(AND(N19&gt;0,'[10]EvaluaciónRiesgoCorrup 1'!$F$11&gt;75,F19=5,H19=10),$H$29,IF(AND(N19&gt;0,'[10]EvaluaciónRiesgoCorrup 1'!$F$11&gt;75,F19=5,H19=20),$H$29," ")))</f>
        <v xml:space="preserve"> </v>
      </c>
      <c r="BH19" s="28" t="str">
        <f>IF(AND(N19&gt;0,'[10]EvaluaciónRiesgoCorrup 1'!$F$11&gt;50,'[10]EvaluaciónRiesgoCorrup 1'!$F$11&lt;76,F19=1,H19=5),$H$25,IF(AND(N19&gt;0,'[10]EvaluaciónRiesgoCorrup 1'!$F$11&gt;50,'[10]EvaluaciónRiesgoCorrup 1'!$F$11&lt;76,F19=1,H19=10),$H$25,IF(AND(N19&gt;0,'[10]EvaluaciónRiesgoCorrup 1'!$F$11&gt;50,'[10]EvaluaciónRiesgoCorrup 1'!$F$11&lt;76,F19=1,H19=20),$J$25," ")))</f>
        <v xml:space="preserve"> </v>
      </c>
      <c r="BI19" s="28" t="str">
        <f>IF(AND(N19&gt;0,'[10]EvaluaciónRiesgoCorrup 1'!$F$11&gt;50,'[10]EvaluaciónRiesgoCorrup 1'!$F$11&lt;76,F19=2,H19=5),$H$26,IF(AND(N19&gt;0,'[10]EvaluaciónRiesgoCorrup 1'!$F$11&gt;50,'[10]EvaluaciónRiesgoCorrup 1'!$F$11&lt;76,F19=2,H19=10),$H$26,IF(AND(N19&gt;0,'[10]EvaluaciónRiesgoCorrup 1'!$F$11&gt;50,'[10]EvaluaciónRiesgoCorrup 1'!$F$11&lt;76,F19=2,H19=20),$J$26," ")))</f>
        <v xml:space="preserve"> </v>
      </c>
      <c r="BJ19" s="28" t="str">
        <f>IF(AND(N19&gt;0,'[10]EvaluaciónRiesgoCorrup 1'!$F$11&gt;50,'[10]EvaluaciónRiesgoCorrup 1'!$F$11&lt;76,F19=3,H19=5),$H$27,IF(AND(N19&gt;0,'[10]EvaluaciónRiesgoCorrup 1'!$F$11&gt;50,'[10]EvaluaciónRiesgoCorrup 1'!$F$11&lt;76,F19=3,H19=10),$H$27,IF(AND(N19&gt;0,'[10]EvaluaciónRiesgoCorrup 1'!$F$11&gt;50,'[10]EvaluaciónRiesgoCorrup 1'!$F$11&lt;76,F19=3,H19=20),$J$27," ")))</f>
        <v xml:space="preserve"> </v>
      </c>
      <c r="BK19" s="28" t="str">
        <f>IF(AND(N19&gt;0,'[10]EvaluaciónRiesgoCorrup 1'!$F$11&gt;50,'[10]EvaluaciónRiesgoCorrup 1'!$F$11&lt;76,F19=4,H19=5),$H$28,IF(AND(N19&gt;0,'[10]EvaluaciónRiesgoCorrup 1'!$F$11&gt;50,'[10]EvaluaciónRiesgoCorrup 1'!$F$11&lt;76,F19=4,H19=10),$H$28,IF(AND(N19&gt;0,'[10]EvaluaciónRiesgoCorrup 1'!$F$11&gt;50,'[10]EvaluaciónRiesgoCorrup 1'!$F$11&lt;76,F19=4,H19=20),$J$28," ")))</f>
        <v xml:space="preserve"> </v>
      </c>
      <c r="BL19" s="28" t="str">
        <f>IF(AND(N19&gt;0,'[10]EvaluaciónRiesgoCorrup 1'!$F$11&gt;50,'[10]EvaluaciónRiesgoCorrup 1'!$F$11&lt;76,F19=5,H19=5),$H$29,IF(AND(N19&gt;0,'[10]EvaluaciónRiesgoCorrup 1'!$F$11&gt;50,'[10]EvaluaciónRiesgoCorrup 1'!$F$11&lt;76,F19=5,H19=10),$H$29,IF(AND(N19&gt;0,'[10]EvaluaciónRiesgoCorrup 1'!$F$11&gt;50,'[10]EvaluaciónRiesgoCorrup 1'!$F$11&lt;76,F19=5,H19=20),$J$29," ")))</f>
        <v xml:space="preserve"> </v>
      </c>
      <c r="BO19" s="28" t="str">
        <f>IF(AND(N19&gt;0,'[10]EvaluaciónRiesgoCorrup 1'!$F$11&lt;51,F19=1,H19=5),$H$25,IF(AND(N19&gt;0,'[10]EvaluaciónRiesgoCorrup 1'!$F$11&lt;51,F19=1,H19=10),$J$25,IF(AND(N19&gt;0,'[10]EvaluaciónRiesgoCorrup 1'!$F$11&lt;51,F19=1,H19=20),$K$25," ")))</f>
        <v xml:space="preserve"> </v>
      </c>
      <c r="BP19" s="28" t="str">
        <f>IF(AND(N19&gt;0,'[10]EvaluaciónRiesgoCorrup 1'!$F$11&lt;51,F19=2,H19=5),$H$26,IF(AND(N19&gt;0,'[10]EvaluaciónRiesgoCorrup 1'!$F$11&lt;51,F19=2,H19=10),$J$26,IF(AND(N19&gt;0,'[10]EvaluaciónRiesgoCorrup 1'!$F$11&lt;51,F19=2,H19=20),$K$26," ")))</f>
        <v xml:space="preserve"> </v>
      </c>
      <c r="BQ19" s="28" t="str">
        <f>IF(AND(N19&gt;0,'[10]EvaluaciónRiesgoCorrup 1'!$F$11&lt;51,F19=3,H19=5),$H$27,IF(AND(N19&gt;0,'[10]EvaluaciónRiesgoCorrup 1'!$F$11&lt;51,F19=3,H19=10),$J$27,IF(AND(N19&gt;0,'[10]EvaluaciónRiesgoCorrup 1'!$F$11&lt;51,F19=3,H19=20),$K$27," ")))</f>
        <v xml:space="preserve"> </v>
      </c>
      <c r="BR19" s="28" t="str">
        <f>IF(AND(N19&gt;0,'[10]EvaluaciónRiesgoCorrup 1'!$F$11&lt;51,F19=4,H19=5),$H$28,IF(AND(N19&gt;0,'[10]EvaluaciónRiesgoCorrup 1'!$F$11&lt;51,F19=4,H19=10),$J$28,IF(AND(N19&gt;0,'[10]EvaluaciónRiesgoCorrup 1'!$F$11&lt;51,F19=4,H19=20),$K$28," ")))</f>
        <v xml:space="preserve"> </v>
      </c>
      <c r="BS19" s="28" t="str">
        <f>IF(AND(N19&gt;0,'[10]EvaluaciónRiesgoCorrup 1'!$F$11&lt;51,F19=5,H19=5),$H$29,IF(AND(N19&gt;0,'[10]EvaluaciónRiesgoCorrup 1'!$F$11&lt;51,F19=5,H19=10),$J$29,IF(AND(N19&gt;0,'[10]EvaluaciónRiesgoCorrup 1'!$F$11&lt;51,F19=5,H19=20),$K$29," ")))</f>
        <v xml:space="preserve"> </v>
      </c>
    </row>
    <row r="20" spans="1:71" ht="125.25" customHeight="1" x14ac:dyDescent="0.35">
      <c r="A20" s="62"/>
      <c r="B20" s="22"/>
      <c r="C20" s="22"/>
      <c r="D20" s="22"/>
      <c r="E20" s="99"/>
    </row>
    <row r="21" spans="1:71" x14ac:dyDescent="0.35">
      <c r="A21" s="28"/>
      <c r="B21" s="30"/>
      <c r="C21" s="30"/>
      <c r="D21" s="30"/>
      <c r="E21" s="33"/>
    </row>
    <row r="22" spans="1:71" ht="14.5" thickBot="1" x14ac:dyDescent="0.4">
      <c r="A22" s="28"/>
      <c r="B22" s="30"/>
      <c r="C22" s="30"/>
      <c r="D22" s="30"/>
      <c r="E22" s="33"/>
      <c r="H22" s="32"/>
      <c r="I22" s="32"/>
      <c r="J22" s="32"/>
    </row>
    <row r="23" spans="1:71" ht="14.5" thickBot="1" x14ac:dyDescent="0.4">
      <c r="A23" s="6"/>
      <c r="B23" s="33"/>
      <c r="C23" s="33"/>
      <c r="D23" s="33"/>
      <c r="E23" s="33"/>
      <c r="F23" s="1019" t="s">
        <v>26</v>
      </c>
      <c r="G23" s="84"/>
      <c r="H23" s="1021" t="s">
        <v>10</v>
      </c>
      <c r="I23" s="1021"/>
      <c r="J23" s="1021"/>
      <c r="K23" s="1022"/>
      <c r="L23" s="106"/>
      <c r="M23" s="2"/>
      <c r="R23" s="5"/>
      <c r="T23" s="2"/>
    </row>
    <row r="24" spans="1:71" ht="32.25" customHeight="1" thickBot="1" x14ac:dyDescent="0.4">
      <c r="A24" s="5"/>
      <c r="B24" s="34" t="s">
        <v>42</v>
      </c>
      <c r="C24" s="34"/>
      <c r="D24" s="34"/>
      <c r="E24" s="34"/>
      <c r="F24" s="1020"/>
      <c r="G24" s="72"/>
      <c r="H24" s="35" t="s">
        <v>43</v>
      </c>
      <c r="I24" s="35"/>
      <c r="J24" s="36" t="s">
        <v>44</v>
      </c>
      <c r="K24" s="35" t="s">
        <v>45</v>
      </c>
      <c r="L24" s="109"/>
      <c r="M24" s="2"/>
      <c r="R24" s="5"/>
      <c r="T24" s="2"/>
    </row>
    <row r="25" spans="1:71" ht="14.5" thickBot="1" x14ac:dyDescent="0.4">
      <c r="B25" s="5" t="s">
        <v>46</v>
      </c>
      <c r="C25" s="5"/>
      <c r="F25" s="37" t="s">
        <v>47</v>
      </c>
      <c r="G25" s="37"/>
      <c r="H25" s="38" t="s">
        <v>48</v>
      </c>
      <c r="I25" s="38"/>
      <c r="J25" s="38" t="s">
        <v>48</v>
      </c>
      <c r="K25" s="39" t="s">
        <v>49</v>
      </c>
      <c r="L25" s="110"/>
      <c r="M25" s="2"/>
      <c r="R25" s="5"/>
      <c r="T25" s="2"/>
    </row>
    <row r="26" spans="1:71" ht="14.5" thickBot="1" x14ac:dyDescent="0.4">
      <c r="F26" s="37" t="s">
        <v>50</v>
      </c>
      <c r="G26" s="37"/>
      <c r="H26" s="38" t="s">
        <v>48</v>
      </c>
      <c r="I26" s="38"/>
      <c r="J26" s="39" t="s">
        <v>49</v>
      </c>
      <c r="K26" s="40" t="s">
        <v>51</v>
      </c>
      <c r="L26" s="111"/>
      <c r="M26" s="2"/>
      <c r="R26" s="5"/>
      <c r="T26" s="2"/>
    </row>
    <row r="27" spans="1:71" ht="14.5" thickBot="1" x14ac:dyDescent="0.4">
      <c r="F27" s="37" t="s">
        <v>52</v>
      </c>
      <c r="G27" s="37"/>
      <c r="H27" s="39" t="s">
        <v>49</v>
      </c>
      <c r="I27" s="39"/>
      <c r="J27" s="40" t="s">
        <v>51</v>
      </c>
      <c r="K27" s="41" t="s">
        <v>53</v>
      </c>
      <c r="L27" s="112"/>
      <c r="M27" s="2"/>
      <c r="R27" s="5"/>
      <c r="T27" s="2"/>
    </row>
    <row r="28" spans="1:71" ht="14.5" thickBot="1" x14ac:dyDescent="0.4">
      <c r="F28" s="37" t="s">
        <v>54</v>
      </c>
      <c r="G28" s="37"/>
      <c r="H28" s="39" t="s">
        <v>49</v>
      </c>
      <c r="I28" s="39"/>
      <c r="J28" s="40" t="s">
        <v>51</v>
      </c>
      <c r="K28" s="41" t="s">
        <v>53</v>
      </c>
      <c r="L28" s="112"/>
      <c r="M28" s="2"/>
      <c r="R28" s="5"/>
      <c r="T28" s="2"/>
    </row>
    <row r="29" spans="1:71" ht="14.5" thickBot="1" x14ac:dyDescent="0.4">
      <c r="F29" s="37" t="s">
        <v>55</v>
      </c>
      <c r="G29" s="37"/>
      <c r="H29" s="39" t="s">
        <v>49</v>
      </c>
      <c r="I29" s="39"/>
      <c r="J29" s="40" t="s">
        <v>51</v>
      </c>
      <c r="K29" s="41" t="s">
        <v>53</v>
      </c>
      <c r="L29" s="112"/>
      <c r="M29" s="2"/>
      <c r="R29" s="5"/>
      <c r="T29" s="2"/>
    </row>
    <row r="30" spans="1:71" x14ac:dyDescent="0.35">
      <c r="F30" s="2"/>
      <c r="G30" s="2"/>
      <c r="H30" s="2"/>
      <c r="I30" s="2"/>
      <c r="J30" s="2"/>
      <c r="K30" s="5"/>
      <c r="L30" s="5"/>
      <c r="N30" s="5"/>
    </row>
    <row r="31" spans="1:71" x14ac:dyDescent="0.35">
      <c r="F31" s="42" t="s">
        <v>56</v>
      </c>
      <c r="G31" s="42"/>
      <c r="H31" s="2"/>
      <c r="I31" s="2"/>
      <c r="J31" s="2"/>
      <c r="K31" s="5"/>
      <c r="L31" s="5"/>
      <c r="N31" s="5"/>
      <c r="O31" s="5"/>
      <c r="P31" s="5"/>
      <c r="Q31" s="5"/>
    </row>
    <row r="32" spans="1:71" x14ac:dyDescent="0.35">
      <c r="F32" s="43" t="s">
        <v>57</v>
      </c>
      <c r="G32" s="43"/>
      <c r="H32" s="2"/>
      <c r="I32" s="2"/>
      <c r="J32" s="2"/>
      <c r="K32" s="5"/>
      <c r="L32" s="5"/>
      <c r="N32" s="5"/>
      <c r="O32" s="5"/>
      <c r="P32" s="5"/>
      <c r="Q32" s="5"/>
    </row>
    <row r="33" spans="6:17" x14ac:dyDescent="0.35">
      <c r="F33" s="44" t="s">
        <v>58</v>
      </c>
      <c r="G33" s="44"/>
      <c r="H33" s="2"/>
      <c r="I33" s="2"/>
      <c r="J33" s="2"/>
      <c r="K33" s="5"/>
      <c r="L33" s="5"/>
      <c r="N33" s="5"/>
      <c r="O33" s="5"/>
      <c r="P33" s="5"/>
      <c r="Q33" s="5"/>
    </row>
    <row r="34" spans="6:17" x14ac:dyDescent="0.35">
      <c r="F34" s="45" t="s">
        <v>59</v>
      </c>
      <c r="G34" s="45"/>
      <c r="H34" s="2"/>
      <c r="I34" s="2"/>
      <c r="J34" s="2"/>
      <c r="K34" s="5"/>
      <c r="L34" s="5"/>
      <c r="N34" s="5"/>
      <c r="O34" s="5"/>
      <c r="P34" s="5"/>
      <c r="Q34" s="5"/>
    </row>
  </sheetData>
  <mergeCells count="37">
    <mergeCell ref="L18:M18"/>
    <mergeCell ref="L19:M19"/>
    <mergeCell ref="F23:F24"/>
    <mergeCell ref="A15:A16"/>
    <mergeCell ref="B15:B16"/>
    <mergeCell ref="D15:D16"/>
    <mergeCell ref="F15:H15"/>
    <mergeCell ref="H23:K23"/>
    <mergeCell ref="L17:M17"/>
    <mergeCell ref="BB13:BU13"/>
    <mergeCell ref="A14:D14"/>
    <mergeCell ref="F14:H14"/>
    <mergeCell ref="K14:K16"/>
    <mergeCell ref="Q14:S14"/>
    <mergeCell ref="T14:W14"/>
    <mergeCell ref="V15:V16"/>
    <mergeCell ref="W15:W16"/>
    <mergeCell ref="Q15:S15"/>
    <mergeCell ref="M14:O14"/>
    <mergeCell ref="M15:O15"/>
    <mergeCell ref="T15:T16"/>
    <mergeCell ref="U15:U16"/>
    <mergeCell ref="AH13:AZ13"/>
    <mergeCell ref="A6:D6"/>
    <mergeCell ref="A8:D8"/>
    <mergeCell ref="A10:D10"/>
    <mergeCell ref="A12:D12"/>
    <mergeCell ref="A1:D4"/>
    <mergeCell ref="F12:W12"/>
    <mergeCell ref="F10:W10"/>
    <mergeCell ref="F8:W8"/>
    <mergeCell ref="F6:W6"/>
    <mergeCell ref="F1:U4"/>
    <mergeCell ref="V3:W3"/>
    <mergeCell ref="V2:W2"/>
    <mergeCell ref="V1:W1"/>
    <mergeCell ref="V4:W4"/>
  </mergeCells>
  <conditionalFormatting sqref="J17:J19 O17:P19">
    <cfRule type="containsText" dxfId="151" priority="1" operator="containsText" text="E">
      <formula>NOT(ISERROR(SEARCH("E",J17)))</formula>
    </cfRule>
    <cfRule type="containsText" dxfId="150" priority="2" operator="containsText" text="M">
      <formula>NOT(ISERROR(SEARCH("M",J17)))</formula>
    </cfRule>
    <cfRule type="containsText" dxfId="149" priority="3" operator="containsText" text="A">
      <formula>NOT(ISERROR(SEARCH("A",J17)))</formula>
    </cfRule>
    <cfRule type="containsText" dxfId="148" priority="4" operator="containsText" text="B">
      <formula>NOT(ISERROR(SEARCH("B",J17)))</formula>
    </cfRule>
  </conditionalFormatting>
  <dataValidations disablePrompts="1" count="2">
    <dataValidation type="list" allowBlank="1" showInputMessage="1" showErrorMessage="1" sqref="M20:P20">
      <formula1>#REF!</formula1>
    </dataValidation>
    <dataValidation type="list" allowBlank="1" showInputMessage="1" showErrorMessage="1" sqref="Q20:R20">
      <formula1>$J$31:$J$34</formula1>
    </dataValidation>
  </dataValidations>
  <pageMargins left="0.7" right="0.7" top="0.75" bottom="0.75" header="0.3" footer="0.3"/>
  <pageSetup scale="1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3"/>
  <sheetViews>
    <sheetView showGridLines="0" view="pageBreakPreview" topLeftCell="L19" zoomScale="80" zoomScaleNormal="70" zoomScaleSheetLayoutView="80" workbookViewId="0">
      <selection activeCell="S21" sqref="S21"/>
    </sheetView>
  </sheetViews>
  <sheetFormatPr baseColWidth="10" defaultColWidth="11.453125" defaultRowHeight="14" x14ac:dyDescent="0.35"/>
  <cols>
    <col min="1" max="1" width="41.26953125" style="2" customWidth="1"/>
    <col min="2" max="2" width="40.453125" style="2" customWidth="1"/>
    <col min="3" max="3" width="40.453125" style="399" customWidth="1"/>
    <col min="4" max="4" width="40.453125" style="2" customWidth="1"/>
    <col min="5" max="5" width="40.453125" style="399" customWidth="1"/>
    <col min="6" max="6" width="27" style="5" customWidth="1"/>
    <col min="7" max="7" width="27" style="402" customWidth="1"/>
    <col min="8" max="8" width="19" style="5" customWidth="1"/>
    <col min="9" max="9" width="19" style="402" customWidth="1"/>
    <col min="10" max="10" width="26.7265625" style="5" customWidth="1"/>
    <col min="11" max="11" width="49.1796875" style="2" customWidth="1"/>
    <col min="12" max="12" width="17.7265625" style="5" customWidth="1"/>
    <col min="13" max="13" width="18.54296875" style="2" customWidth="1"/>
    <col min="14" max="14" width="21.7265625" style="2" customWidth="1"/>
    <col min="15" max="15" width="21.7265625" style="399" customWidth="1"/>
    <col min="16" max="16" width="25.7265625" style="2" customWidth="1"/>
    <col min="17" max="17" width="35.26953125" style="2" customWidth="1"/>
    <col min="18" max="18" width="17" style="2" customWidth="1"/>
    <col min="19" max="19" width="38.54296875" style="5" customWidth="1"/>
    <col min="20" max="20" width="34.7265625" style="2" customWidth="1"/>
    <col min="21" max="21" width="30.453125" style="2" customWidth="1"/>
    <col min="22" max="22" width="49.54296875" style="2" customWidth="1"/>
    <col min="23" max="23" width="30.453125" style="2" customWidth="1"/>
    <col min="24" max="24" width="36" style="2" hidden="1" customWidth="1"/>
    <col min="25" max="25" width="0" style="2" hidden="1" customWidth="1"/>
    <col min="26" max="72" width="11.453125" style="2" hidden="1" customWidth="1"/>
    <col min="73" max="73" width="11.453125" style="2" customWidth="1"/>
    <col min="74" max="16384" width="11.453125" style="2"/>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60" t="s">
        <v>372</v>
      </c>
      <c r="V2" s="1061"/>
      <c r="W2" s="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60" t="s">
        <v>373</v>
      </c>
      <c r="V3" s="1061"/>
      <c r="W3" s="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3"/>
      <c r="C5" s="400"/>
      <c r="D5" s="3"/>
      <c r="E5" s="400"/>
      <c r="F5" s="4"/>
      <c r="G5" s="401"/>
      <c r="H5" s="4"/>
      <c r="I5" s="401"/>
      <c r="J5" s="4"/>
      <c r="K5" s="4"/>
      <c r="L5" s="4"/>
      <c r="M5" s="4"/>
      <c r="N5" s="4"/>
      <c r="O5" s="401"/>
      <c r="P5" s="4"/>
      <c r="Q5" s="4"/>
      <c r="W5" s="6"/>
      <c r="X5" s="6"/>
    </row>
    <row r="6" spans="1:72" x14ac:dyDescent="0.35">
      <c r="A6" s="1030" t="s">
        <v>3</v>
      </c>
      <c r="B6" s="1030"/>
      <c r="C6" s="1030"/>
      <c r="D6" s="1030"/>
      <c r="E6" s="82"/>
      <c r="F6" s="1044" t="str">
        <f>[11]IdentRiesgo!B2</f>
        <v>Gestión Documental</v>
      </c>
      <c r="G6" s="1045"/>
      <c r="H6" s="1045"/>
      <c r="I6" s="1045"/>
      <c r="J6" s="1045"/>
      <c r="K6" s="1045"/>
      <c r="L6" s="1045"/>
      <c r="M6" s="1045"/>
      <c r="N6" s="1045"/>
      <c r="O6" s="1045"/>
      <c r="P6" s="1045"/>
      <c r="Q6" s="1045"/>
      <c r="R6" s="1045"/>
      <c r="S6" s="1045"/>
      <c r="T6" s="1045"/>
      <c r="U6" s="1045"/>
      <c r="V6" s="1046"/>
      <c r="W6" s="6"/>
      <c r="X6" s="6"/>
    </row>
    <row r="7" spans="1:72" ht="6.75" customHeight="1" x14ac:dyDescent="0.35">
      <c r="B7" s="3"/>
      <c r="C7" s="400"/>
      <c r="D7" s="3"/>
      <c r="E7" s="400"/>
      <c r="F7" s="7"/>
      <c r="G7" s="405"/>
      <c r="H7" s="7"/>
      <c r="I7" s="405"/>
      <c r="J7" s="7"/>
      <c r="K7" s="7"/>
      <c r="L7" s="7"/>
      <c r="M7" s="7"/>
      <c r="N7" s="7"/>
      <c r="O7" s="405"/>
      <c r="P7" s="7"/>
      <c r="Q7" s="7"/>
      <c r="R7" s="8"/>
      <c r="S7" s="8"/>
      <c r="T7" s="8"/>
      <c r="U7" s="8"/>
      <c r="V7" s="8"/>
      <c r="W7" s="6"/>
      <c r="X7" s="6"/>
    </row>
    <row r="8" spans="1:72" ht="39.75" customHeight="1" x14ac:dyDescent="0.35">
      <c r="A8" s="1030" t="s">
        <v>4</v>
      </c>
      <c r="B8" s="1030"/>
      <c r="C8" s="1030"/>
      <c r="D8" s="1030"/>
      <c r="E8" s="82"/>
      <c r="F8" s="1047" t="str">
        <f>[11]IdentRiesgo!B3</f>
        <v xml:space="preserve">Administrar la producción, trámite, almacenamiento digital, recuperación, consulta y custodia de la correspondencia Institucional. Difundir y disponer para consulta la información ambiental y administrativa del Instituto y del Sistema de Información Nacional Ambiental – SINA-. </v>
      </c>
      <c r="G8" s="1048"/>
      <c r="H8" s="1048"/>
      <c r="I8" s="1048"/>
      <c r="J8" s="1048"/>
      <c r="K8" s="1048"/>
      <c r="L8" s="1048"/>
      <c r="M8" s="1048"/>
      <c r="N8" s="1048"/>
      <c r="O8" s="1048"/>
      <c r="P8" s="1048"/>
      <c r="Q8" s="1048"/>
      <c r="R8" s="1048"/>
      <c r="S8" s="1048"/>
      <c r="T8" s="1048"/>
      <c r="U8" s="1048"/>
      <c r="V8" s="1049"/>
      <c r="W8" s="9"/>
      <c r="X8" s="9"/>
    </row>
    <row r="9" spans="1:72" ht="6.75" customHeight="1" x14ac:dyDescent="0.35">
      <c r="B9" s="10"/>
      <c r="C9" s="403"/>
      <c r="D9" s="10"/>
      <c r="E9" s="403"/>
      <c r="F9" s="11"/>
      <c r="G9" s="406"/>
      <c r="H9" s="11"/>
      <c r="I9" s="406"/>
      <c r="J9" s="11"/>
      <c r="K9" s="11"/>
      <c r="L9" s="11"/>
      <c r="M9" s="11"/>
      <c r="N9" s="11"/>
      <c r="O9" s="406"/>
      <c r="P9" s="11"/>
      <c r="Q9" s="11"/>
      <c r="R9" s="8"/>
      <c r="S9" s="8"/>
      <c r="T9" s="8"/>
      <c r="U9" s="8"/>
      <c r="V9" s="8"/>
      <c r="W9" s="6"/>
      <c r="X9" s="6"/>
    </row>
    <row r="10" spans="1:72" x14ac:dyDescent="0.35">
      <c r="A10" s="1030" t="s">
        <v>5</v>
      </c>
      <c r="B10" s="1030"/>
      <c r="C10" s="1030"/>
      <c r="D10" s="1030"/>
      <c r="E10" s="82"/>
      <c r="F10" s="1031" t="s">
        <v>87</v>
      </c>
      <c r="G10" s="1032"/>
      <c r="H10" s="1032"/>
      <c r="I10" s="1032"/>
      <c r="J10" s="1032"/>
      <c r="K10" s="1032"/>
      <c r="L10" s="1032"/>
      <c r="M10" s="1032"/>
      <c r="N10" s="1032"/>
      <c r="O10" s="1032"/>
      <c r="P10" s="1032"/>
      <c r="Q10" s="1032"/>
      <c r="R10" s="1032"/>
      <c r="S10" s="1032"/>
      <c r="T10" s="1032"/>
      <c r="U10" s="1032"/>
      <c r="V10" s="1033"/>
      <c r="W10" s="12"/>
      <c r="X10" s="12"/>
    </row>
    <row r="11" spans="1:72" ht="5.25" customHeight="1" x14ac:dyDescent="0.35">
      <c r="B11" s="3"/>
      <c r="C11" s="400"/>
      <c r="D11" s="3"/>
      <c r="E11" s="400"/>
      <c r="F11" s="13"/>
      <c r="G11" s="425"/>
      <c r="H11" s="13"/>
      <c r="I11" s="425"/>
      <c r="J11" s="13"/>
      <c r="K11" s="13"/>
      <c r="L11" s="13"/>
      <c r="M11" s="13"/>
      <c r="N11" s="13"/>
      <c r="O11" s="425"/>
      <c r="P11" s="13"/>
      <c r="Q11" s="13"/>
      <c r="R11" s="8"/>
      <c r="S11" s="8"/>
      <c r="T11" s="8"/>
      <c r="U11" s="8"/>
      <c r="V11" s="8"/>
      <c r="W11" s="6"/>
      <c r="X11" s="6"/>
    </row>
    <row r="12" spans="1:72" x14ac:dyDescent="0.35">
      <c r="A12" s="1030" t="s">
        <v>6</v>
      </c>
      <c r="B12" s="1030"/>
      <c r="C12" s="1030"/>
      <c r="D12" s="1030"/>
      <c r="E12" s="82"/>
      <c r="F12" s="1031" t="s">
        <v>92</v>
      </c>
      <c r="G12" s="1032"/>
      <c r="H12" s="1032"/>
      <c r="I12" s="1032"/>
      <c r="J12" s="1032"/>
      <c r="K12" s="1032"/>
      <c r="L12" s="1032"/>
      <c r="M12" s="1032"/>
      <c r="N12" s="1032"/>
      <c r="O12" s="1032"/>
      <c r="P12" s="1032"/>
      <c r="Q12" s="1032"/>
      <c r="R12" s="1032"/>
      <c r="S12" s="1032"/>
      <c r="T12" s="1032"/>
      <c r="U12" s="1032"/>
      <c r="V12" s="1033"/>
      <c r="W12" s="12"/>
      <c r="X12" s="12"/>
      <c r="AA12" s="2" t="s">
        <v>7</v>
      </c>
    </row>
    <row r="13" spans="1:72" ht="14.5" thickBot="1" x14ac:dyDescent="0.4">
      <c r="B13" s="3"/>
      <c r="C13" s="400"/>
      <c r="D13" s="3"/>
      <c r="E13" s="400"/>
      <c r="F13" s="14"/>
      <c r="G13" s="407"/>
      <c r="H13" s="15"/>
      <c r="I13" s="404"/>
      <c r="J13" s="15"/>
      <c r="K13" s="7"/>
      <c r="L13" s="15"/>
      <c r="M13" s="7"/>
      <c r="N13" s="7"/>
      <c r="O13" s="405"/>
      <c r="P13" s="7"/>
      <c r="Q13" s="7"/>
      <c r="R13" s="7"/>
      <c r="S13" s="15"/>
      <c r="T13" s="7"/>
      <c r="W13" s="6"/>
      <c r="X13" s="6"/>
      <c r="AA13" s="2"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420"/>
      <c r="J14" s="16"/>
      <c r="K14" s="1039" t="s">
        <v>13</v>
      </c>
      <c r="L14" s="1035" t="s">
        <v>14</v>
      </c>
      <c r="M14" s="1036"/>
      <c r="N14" s="1037"/>
      <c r="O14" s="747"/>
      <c r="P14" s="1042" t="s">
        <v>15</v>
      </c>
      <c r="Q14" s="1042"/>
      <c r="R14" s="1042"/>
      <c r="S14" s="1042" t="s">
        <v>16</v>
      </c>
      <c r="T14" s="1042"/>
      <c r="U14" s="1042"/>
      <c r="V14" s="1042"/>
    </row>
    <row r="15" spans="1:72" s="17" customFormat="1" ht="14.25" customHeight="1" x14ac:dyDescent="0.35">
      <c r="A15" s="1040" t="s">
        <v>17</v>
      </c>
      <c r="B15" s="1040" t="s">
        <v>18</v>
      </c>
      <c r="C15" s="748"/>
      <c r="D15" s="1040" t="s">
        <v>19</v>
      </c>
      <c r="E15" s="748"/>
      <c r="F15" s="1018" t="s">
        <v>20</v>
      </c>
      <c r="G15" s="1018"/>
      <c r="H15" s="1018"/>
      <c r="I15" s="744"/>
      <c r="J15" s="58"/>
      <c r="K15" s="1040"/>
      <c r="L15" s="1023" t="s">
        <v>21</v>
      </c>
      <c r="M15" s="1024"/>
      <c r="N15" s="1025"/>
      <c r="O15" s="746"/>
      <c r="P15" s="1023" t="s">
        <v>22</v>
      </c>
      <c r="Q15" s="1024"/>
      <c r="R15" s="1025"/>
      <c r="S15" s="1018" t="s">
        <v>23</v>
      </c>
      <c r="T15" s="1018" t="s">
        <v>24</v>
      </c>
      <c r="U15" s="1018" t="s">
        <v>5</v>
      </c>
      <c r="V15" s="1018" t="s">
        <v>25</v>
      </c>
    </row>
    <row r="16" spans="1:72" s="17" customFormat="1" ht="63" customHeight="1" x14ac:dyDescent="0.35">
      <c r="A16" s="1043"/>
      <c r="B16" s="1043"/>
      <c r="C16" s="749" t="s">
        <v>96</v>
      </c>
      <c r="D16" s="1043"/>
      <c r="E16" s="749" t="s">
        <v>97</v>
      </c>
      <c r="F16" s="58" t="s">
        <v>26</v>
      </c>
      <c r="G16" s="744" t="s">
        <v>96</v>
      </c>
      <c r="H16" s="58" t="s">
        <v>10</v>
      </c>
      <c r="I16" s="744" t="s">
        <v>96</v>
      </c>
      <c r="J16" s="58" t="s">
        <v>27</v>
      </c>
      <c r="K16" s="1041"/>
      <c r="L16" s="19" t="s">
        <v>26</v>
      </c>
      <c r="M16" s="19" t="s">
        <v>10</v>
      </c>
      <c r="N16" s="59" t="s">
        <v>27</v>
      </c>
      <c r="O16" s="749" t="s">
        <v>100</v>
      </c>
      <c r="P16" s="58" t="s">
        <v>28</v>
      </c>
      <c r="Q16" s="58" t="s">
        <v>24</v>
      </c>
      <c r="R16" s="58" t="s">
        <v>29</v>
      </c>
      <c r="S16" s="1018"/>
      <c r="T16" s="1018"/>
      <c r="U16" s="1018"/>
      <c r="V16" s="1018"/>
    </row>
    <row r="17" spans="1:70" ht="315" customHeight="1" x14ac:dyDescent="0.35">
      <c r="A17" s="820" t="s">
        <v>478</v>
      </c>
      <c r="B17" s="821" t="s">
        <v>479</v>
      </c>
      <c r="C17" s="822" t="s">
        <v>480</v>
      </c>
      <c r="D17" s="823" t="s">
        <v>481</v>
      </c>
      <c r="E17" s="824" t="s">
        <v>106</v>
      </c>
      <c r="F17" s="825">
        <v>3</v>
      </c>
      <c r="G17" s="826" t="s">
        <v>107</v>
      </c>
      <c r="H17" s="827">
        <v>3</v>
      </c>
      <c r="I17" s="828" t="s">
        <v>117</v>
      </c>
      <c r="J17" s="829" t="s">
        <v>51</v>
      </c>
      <c r="K17" s="830" t="s">
        <v>482</v>
      </c>
      <c r="L17" s="1065" t="s">
        <v>26</v>
      </c>
      <c r="M17" s="1066"/>
      <c r="N17" s="831" t="s">
        <v>49</v>
      </c>
      <c r="O17" s="832" t="s">
        <v>211</v>
      </c>
      <c r="P17" s="833" t="s">
        <v>83</v>
      </c>
      <c r="Q17" s="866" t="s">
        <v>610</v>
      </c>
      <c r="R17" s="834" t="s">
        <v>483</v>
      </c>
      <c r="S17" s="857" t="s">
        <v>494</v>
      </c>
      <c r="T17" s="695" t="s">
        <v>611</v>
      </c>
      <c r="U17" s="835" t="s">
        <v>484</v>
      </c>
      <c r="V17" s="410"/>
      <c r="X17" s="28" t="str">
        <f>IF(AND(F17=1,H17=5),$H$24,IF(AND(F17=1,H17=10),$J$24,IF(AND(F17=1,H17=20),$K$24," ")))</f>
        <v xml:space="preserve"> </v>
      </c>
      <c r="Y17" s="28" t="str">
        <f>IF(AND(F17=2,H17=5),$H$25,IF(AND(F17=2,H17=10),$J$25,IF(AND(F17=2,H17=20),$K$25," ")))</f>
        <v xml:space="preserve"> </v>
      </c>
      <c r="Z17" s="28" t="str">
        <f>IF(AND(F17=3,H17=5),$H$26,IF(AND(F17=3,H17=10),$J$26,IF(AND(F17=3,H17=20),$K$26," ")))</f>
        <v xml:space="preserve"> </v>
      </c>
      <c r="AA17" s="28" t="str">
        <f>IF(AND(F17=4,H17=5),$H$27,IF(AND(F17=4,H17=10),$J$27,IF(AND(F17=4,H17=20),$K$27," ")))</f>
        <v xml:space="preserve"> </v>
      </c>
      <c r="AB17" s="28" t="str">
        <f>IF(AND(F17=5,H17=5),$H$28,IF(AND(F17=5,H17=10),$J$28,IF(AND(F17=5,H17=20),$K$28," ")))</f>
        <v xml:space="preserve"> </v>
      </c>
      <c r="AD17" s="29" t="s">
        <v>31</v>
      </c>
      <c r="AE17" s="28" t="str">
        <f>IF(AND(L17&gt;0,[11]EvaluaciónRiesgoCorrup1!$F$11&gt;75,F17=1,H17=5),$H$24,IF(AND(L17&gt;0,[11]EvaluaciónRiesgoCorrup1!$F$11&gt;75,F17=1,H17=10),$J$24,IF(AND(L17&gt;0,[11]EvaluaciónRiesgoCorrup1!$F$11&gt;75,F17=1,H17=20),$K$24," ")))</f>
        <v xml:space="preserve"> </v>
      </c>
      <c r="AF17" s="28" t="str">
        <f>IF(AND(L17&gt;0,[11]EvaluaciónRiesgoCorrup1!$F$11&gt;75,F17=2,H17=5),$H$24,IF(AND(L17&gt;0,[11]EvaluaciónRiesgoCorrup1!$F$11&gt;75,F17=2,H17=10),$J$24,IF(AND(L17&gt;0,[11]EvaluaciónRiesgoCorrup1!$F$11&gt;75,F17=2,H17=20),$K$24," ")))</f>
        <v xml:space="preserve"> </v>
      </c>
      <c r="AG17" s="28" t="str">
        <f>IF(AND(L17&gt;0,[11]EvaluaciónRiesgoCorrup1!$F$11&gt;75,F17=3,H17=5),$H$24,IF(AND(L17&gt;0,[11]EvaluaciónRiesgoCorrup1!$F$11&gt;75,F17=3,H17=10),$J$24,IF(AND(L17&gt;0,[11]EvaluaciónRiesgoCorrup1!$F$11&gt;75,F17=3,H17=20),$K$24," ")))</f>
        <v xml:space="preserve"> </v>
      </c>
      <c r="AH17" s="28" t="str">
        <f>IF(AND(L17&gt;0,[11]EvaluaciónRiesgoCorrup1!$F$11&gt;75,F17=4,H17=5),$H$25,IF(AND(L17&gt;0,[11]EvaluaciónRiesgoCorrup1!$F$11&gt;75,F17=4,H17=10),$J$25,IF(AND(L17&gt;0,[11]EvaluaciónRiesgoCorrup1!$F$11&gt;75,F17=4,H17=20),$K$25," ")))</f>
        <v xml:space="preserve"> </v>
      </c>
      <c r="AI17" s="28" t="str">
        <f>IF(AND(L17&gt;0,[11]EvaluaciónRiesgoCorrup1!$F$11&gt;75,F17=5,H17=5),$H$26,IF(AND(L17&gt;0,[11]EvaluaciónRiesgoCorrup1!$F$11&gt;75,F17=5,H17=10),$J$26,IF(AND(L17&gt;0,[11]EvaluaciónRiesgoCorrup1!$F$11&gt;75,F17=5,H17=20),$K$26," ")))</f>
        <v xml:space="preserve"> </v>
      </c>
      <c r="AJ17" s="29" t="s">
        <v>32</v>
      </c>
      <c r="AK17" s="28" t="str">
        <f>IF(AND(L17&gt;0,[11]EvaluaciónRiesgoCorrup1!$F$11&gt;50,[11]EvaluaciónRiesgoCorrup1!$F$11&lt;76,F17=1,H17=5),$H$24,IF(AND(L17&gt;0,[11]EvaluaciónRiesgoCorrup1!$F$11&gt;50,[11]EvaluaciónRiesgoCorrup1!$F$11&lt;76,F17=1,H17=10),$J$24,IF(AND(L17&gt;0,[11]EvaluaciónRiesgoCorrup1!$F$11&gt;50,[11]EvaluaciónRiesgoCorrup1!$F$11&lt;76,F17=1,H17=20),$K$24," ")))</f>
        <v xml:space="preserve"> </v>
      </c>
      <c r="AL17" s="28" t="str">
        <f>IF(AND(L17&gt;0,[11]EvaluaciónRiesgoCorrup1!$F$11&gt;50,[11]EvaluaciónRiesgoCorrup1!$F$11&lt;76,F17=2,H17=5),$H$24,IF(AND(L17&gt;0,[11]EvaluaciónRiesgoCorrup1!$F$11&gt;50,[11]EvaluaciónRiesgoCorrup1!$F$11&lt;76,F17=2,H17=10),$J$24,IF(AND(L17&gt;0,[11]EvaluaciónRiesgoCorrup1!$F$11&gt;50,[11]EvaluaciónRiesgoCorrup1!$F$11&lt;76,F17=2,H17=20),$K$24," ")))</f>
        <v xml:space="preserve"> </v>
      </c>
      <c r="AM17" s="28" t="str">
        <f>IF(AND(L17&gt;0,[11]EvaluaciónRiesgoCorrup1!$F$11&gt;50,[11]EvaluaciónRiesgoCorrup1!$F$11&lt;76,F17=3,H17=5),$H$25,IF(AND(L17&gt;0,[11]EvaluaciónRiesgoCorrup1!$F$11&gt;50,[11]EvaluaciónRiesgoCorrup1!$F$11&lt;76,F17=3,H17=10),$J$25,IF(AND(L17&gt;0,[11]EvaluaciónRiesgoCorrup1!$F$11&gt;50,[11]EvaluaciónRiesgoCorrup1!$F$11&lt;76,F17=3,H17=20),$K$25," ")))</f>
        <v xml:space="preserve"> </v>
      </c>
      <c r="AN17" s="28" t="str">
        <f>IF(AND(L17&gt;0,[11]EvaluaciónRiesgoCorrup1!$F$11&gt;50,[11]EvaluaciónRiesgoCorrup1!$F$11&lt;76,F17=4,H17=5),$H$26,IF(AND(L17&gt;0,[11]EvaluaciónRiesgoCorrup1!$F$11&gt;50,[11]EvaluaciónRiesgoCorrup1!$F$11&lt;76,F17=4,H17=10),$J$26,IF(AND(L17&gt;0,[11]EvaluaciónRiesgoCorrup1!$F$11&gt;50,[11]EvaluaciónRiesgoCorrup1!$F$11&lt;76,F17=4,H17=20),$K$26," ")))</f>
        <v xml:space="preserve"> </v>
      </c>
      <c r="AO17" s="28" t="str">
        <f>IF(AND(L17&gt;0,[11]EvaluaciónRiesgoCorrup1!$F$11&gt;50,[11]EvaluaciónRiesgoCorrup1!$F$11&lt;76,F17=5,H17=5),$H$27,IF(AND(L17&gt;0,[11]EvaluaciónRiesgoCorrup1!$F$11&gt;50,[11]EvaluaciónRiesgoCorrup1!$F$11&lt;76,F17=5,H17=10),$J$27,IF(AND(L17&gt;0,[11]EvaluaciónRiesgoCorrup1!$F$11&gt;50,[11]EvaluaciónRiesgoCorrup1!$F$11&lt;76,F17=5,H17=20),$K$27," ")))</f>
        <v xml:space="preserve"> </v>
      </c>
      <c r="AQ17" s="29" t="s">
        <v>33</v>
      </c>
      <c r="AR17" s="28" t="str">
        <f>IF(AND(L17&gt;0,[11]EvaluaciónRiesgoCorrup1!$F$11&lt;51,F17=1,H17=5),$H$24,IF(AND(L17&gt;0,[11]EvaluaciónRiesgoCorrup1!$F$11&lt;51,F17=1,H17=10),$J$24,IF(AND(L17&gt;0,[11]EvaluaciónRiesgoCorrup1!$F$11&lt;51,F17=1,H17=20),K$24," ")))</f>
        <v xml:space="preserve"> </v>
      </c>
      <c r="AS17" s="28" t="str">
        <f>IF(AND(L17&gt;0,[11]EvaluaciónRiesgoCorrup1!$F$11&lt;51,F17=2,H17=5),$H$25,IF(AND(L17&gt;0,[11]EvaluaciónRiesgoCorrup1!$F$11&lt;51,F17=2,H17=10),$J$25,IF(AND(L17&gt;0,[11]EvaluaciónRiesgoCorrup1!$F$11&lt;51,F17=2,H17=20),K$25," ")))</f>
        <v xml:space="preserve"> </v>
      </c>
      <c r="AT17" s="28" t="str">
        <f>IF(AND(L17&gt;0,[11]EvaluaciónRiesgoCorrup1!$F$11&lt;51,F17=3,H17=5),$H$26,IF(AND(L17&gt;0,[11]EvaluaciónRiesgoCorrup1!$F$11&lt;51,F17=3,H17=10),$J$26,IF(AND(L17&gt;0,[11]EvaluaciónRiesgoCorrup1!$F$11&lt;51,F17=3,H17=20),K$26," ")))</f>
        <v xml:space="preserve"> </v>
      </c>
      <c r="AU17" s="28" t="str">
        <f>IF(AND(L17&gt;0,[11]EvaluaciónRiesgoCorrup1!$F$11&lt;51,F17=4,H17=5),$H$27,IF(AND(L17&gt;0,[11]EvaluaciónRiesgoCorrup1!$F$11&lt;51,F17=4,H17=10),$J$27,IF(AND(L17&gt;0,[11]EvaluaciónRiesgoCorrup1!$F$11&lt;51,F17=4,H17=20),K$27," ")))</f>
        <v xml:space="preserve"> </v>
      </c>
      <c r="AV17" s="28" t="str">
        <f>IF(AND(L17&gt;0,[11]EvaluaciónRiesgoCorrup1!$F$11&lt;51,F17=5,H17=5),$H$28,IF(AND(L17&gt;0,[11]EvaluaciónRiesgoCorrup1!$F$11&lt;51,F17=5,H17=10),$J$28,IF(AND(L17&gt;0,[11]EvaluaciónRiesgoCorrup1!$F$11&lt;51,F17=5,H17=20),K$28," ")))</f>
        <v xml:space="preserve"> </v>
      </c>
      <c r="AY17" s="29" t="s">
        <v>31</v>
      </c>
      <c r="AZ17" s="28" t="str">
        <f>IF(AND(M17&gt;0,[11]EvaluaciónRiesgoCorrup1!$F$11&gt;75,F17=1,H17=5),$H$24,IF(AND(M17&gt;0,[11]EvaluaciónRiesgoCorrup1!$F$11&gt;75,F17=1,H17=10),$H$24,IF(AND(M17&gt;0,[11]EvaluaciónRiesgoCorrup1!$F$11&gt;75,F17=1,H17=20),$H$24," ")))</f>
        <v xml:space="preserve"> </v>
      </c>
      <c r="BA17" s="28" t="str">
        <f>IF(AND(M17&gt;0,[11]EvaluaciónRiesgoCorrup1!$F$11&gt;75,F17=2,H17=5),$H$25,IF(AND(M17&gt;0,[11]EvaluaciónRiesgoCorrup1!$F$11&gt;75,F17=2,H17=10),$H$25,IF(AND(M17&gt;0,[11]EvaluaciónRiesgoCorrup1!$F$11&gt;75,F17=2,H17=20),$H$25," ")))</f>
        <v xml:space="preserve"> </v>
      </c>
      <c r="BB17" s="28" t="str">
        <f>IF(AND(M17&gt;0,[11]EvaluaciónRiesgoCorrup1!$F$11&gt;75,F17=3,H17=5),$H$26,IF(AND(M17&gt;0,[11]EvaluaciónRiesgoCorrup1!$F$11&gt;75,F17=3,H17=10),$H$26,IF(AND(M17&gt;0,[11]EvaluaciónRiesgoCorrup1!$F$11&gt;75,F17=3,H17=20),$H$26," ")))</f>
        <v xml:space="preserve"> </v>
      </c>
      <c r="BC17" s="28" t="str">
        <f>IF(AND(M17&gt;0,[11]EvaluaciónRiesgoCorrup1!$F$11&gt;75,F17=4,H17=5),$H$27,IF(AND(M17&gt;0,[11]EvaluaciónRiesgoCorrup1!$F$11&gt;75,F17=4,H17=10),$H$27,IF(AND(M17&gt;0,[11]EvaluaciónRiesgoCorrup1!$F$11&gt;75,F17=4,H17=20),$H$27," ")))</f>
        <v xml:space="preserve"> </v>
      </c>
      <c r="BD17" s="28" t="str">
        <f>IF(AND(M17&gt;0,[11]EvaluaciónRiesgoCorrup1!$F$11&gt;75,F17=5,H17=5),$H$28,IF(AND(M17&gt;0,[11]EvaluaciónRiesgoCorrup1!$F$11&gt;75,F17=5,H17=10),$H$28,IF(AND(M17&gt;0,[11]EvaluaciónRiesgoCorrup1!$F$11&gt;75,F17=5,H17=20),$H$28," ")))</f>
        <v xml:space="preserve"> </v>
      </c>
      <c r="BF17" s="29" t="s">
        <v>32</v>
      </c>
      <c r="BG17" s="28" t="str">
        <f>IF(AND(M17&gt;0,[11]EvaluaciónRiesgoCorrup1!$F$11&gt;50,[11]EvaluaciónRiesgoCorrup1!$F$11&lt;76,F17=1,H17=5),$H$24,IF(AND(M17&gt;0,[11]EvaluaciónRiesgoCorrup1!$F$11&gt;50,[11]EvaluaciónRiesgoCorrup1!$F$11&lt;76,F17=1,H17=10),$H$24,IF(AND(M17&gt;0,[11]EvaluaciónRiesgoCorrup1!$F$11&gt;50,[11]EvaluaciónRiesgoCorrup1!$F$11&lt;76,F17=1,H17=20),$J$24," ")))</f>
        <v xml:space="preserve"> </v>
      </c>
      <c r="BH17" s="28" t="str">
        <f>IF(AND(M17&gt;0,[11]EvaluaciónRiesgoCorrup1!$F$11&gt;50,[11]EvaluaciónRiesgoCorrup1!$F$11&lt;76,F17=2,H17=5),$H$25,IF(AND(M17&gt;0,[11]EvaluaciónRiesgoCorrup1!$F$11&gt;50,[11]EvaluaciónRiesgoCorrup1!$F$11&lt;76,F17=2,H17=10),$H$25,IF(AND(M17&gt;0,[11]EvaluaciónRiesgoCorrup1!$F$11&gt;50,[11]EvaluaciónRiesgoCorrup1!$F$11&lt;76,F17=2,H17=20),$J$25," ")))</f>
        <v xml:space="preserve"> </v>
      </c>
      <c r="BI17" s="28" t="str">
        <f>IF(AND(M17&gt;0,[11]EvaluaciónRiesgoCorrup1!$F$11&gt;50,[11]EvaluaciónRiesgoCorrup1!$F$11&lt;76,F17=3,H17=5),$H$26,IF(AND(M17&gt;0,[11]EvaluaciónRiesgoCorrup1!$F$11&gt;50,[11]EvaluaciónRiesgoCorrup1!$F$11&lt;76,F17=3,H17=10),$H$26,IF(AND(M17&gt;0,[11]EvaluaciónRiesgoCorrup1!$F$11&gt;50,[11]EvaluaciónRiesgoCorrup1!$F$11&lt;76,F17=3,H17=20),$J$26," ")))</f>
        <v xml:space="preserve"> </v>
      </c>
      <c r="BJ17" s="28" t="str">
        <f>IF(AND(M17&gt;0,[11]EvaluaciónRiesgoCorrup1!$F$11&gt;50,[11]EvaluaciónRiesgoCorrup1!$F$11&lt;76,F17=4,H17=5),$H$27,IF(AND(M17&gt;0,[11]EvaluaciónRiesgoCorrup1!$F$11&gt;50,[11]EvaluaciónRiesgoCorrup1!$F$11&lt;76,F17=4,H17=10),$H$27,IF(AND(M17&gt;0,[11]EvaluaciónRiesgoCorrup1!$F$11&gt;50,[11]EvaluaciónRiesgoCorrup1!$F$11&lt;76,F17=4,H17=20),$J$27," ")))</f>
        <v xml:space="preserve"> </v>
      </c>
      <c r="BK17" s="28" t="str">
        <f>IF(AND(M17&gt;0,[11]EvaluaciónRiesgoCorrup1!$F$11&gt;50,[11]EvaluaciónRiesgoCorrup1!$F$11&lt;76,F17=5,H17=5),$H$28,IF(AND(M17&gt;0,[11]EvaluaciónRiesgoCorrup1!$F$11&gt;50,[11]EvaluaciónRiesgoCorrup1!$F$11&lt;76,F17=5,H17=10),$H$28,IF(AND(M17&gt;0,[11]EvaluaciónRiesgoCorrup1!$F$11&gt;50,[11]EvaluaciónRiesgoCorrup1!$F$11&lt;76,F17=5,H17=20),$J$28," ")))</f>
        <v xml:space="preserve"> </v>
      </c>
      <c r="BM17" s="29" t="s">
        <v>33</v>
      </c>
      <c r="BN17" s="28" t="str">
        <f>IF(AND(M17&gt;0,[11]EvaluaciónRiesgoCorrup1!$F$11&lt;51,F17=1,H17=5),$H$24,IF(AND(M17&gt;0,[11]EvaluaciónRiesgoCorrup1!$F$11&lt;51,F17=1,H17=10),$J$24,IF(AND(M17&gt;0,[11]EvaluaciónRiesgoCorrup1!$F$11&lt;51,F17=1,H17=20),$K$24," ")))</f>
        <v xml:space="preserve"> </v>
      </c>
      <c r="BO17" s="28" t="str">
        <f>IF(AND(M17&gt;0,[11]EvaluaciónRiesgoCorrup1!$F$11&lt;51,F17=2,H17=5),$H$25,IF(AND(M17&gt;0,[11]EvaluaciónRiesgoCorrup1!$F$11&lt;51,F17=2,H17=10),$J$25,IF(AND(M17&gt;0,[11]EvaluaciónRiesgoCorrup1!$F$11&lt;51,F17=2,H17=20),$K$25," ")))</f>
        <v xml:space="preserve"> </v>
      </c>
      <c r="BP17" s="28" t="str">
        <f>IF(AND(M17&gt;0,[11]EvaluaciónRiesgoCorrup1!$F$11&lt;51,F17=3,H17=5),$H$26,IF(AND(M17&gt;0,[11]EvaluaciónRiesgoCorrup1!$F$11&lt;51,F17=3,H17=10),$J$26,IF(AND(M17&gt;0,[11]EvaluaciónRiesgoCorrup1!$F$11&lt;51,F17=3,H17=20),$K$26," ")))</f>
        <v xml:space="preserve"> </v>
      </c>
      <c r="BQ17" s="28" t="str">
        <f>IF(AND(M17&gt;0,[11]EvaluaciónRiesgoCorrup1!$F$11&lt;51,F17=4,H17=5),$H$27,IF(AND(M17&gt;0,[11]EvaluaciónRiesgoCorrup1!$F$11&lt;51,F17=4,H17=10),$J$27,IF(AND(M17&gt;0,[11]EvaluaciónRiesgoCorrup1!$F$11&lt;51,F17=4,H17=20),$K$27," ")))</f>
        <v xml:space="preserve"> </v>
      </c>
      <c r="BR17" s="28" t="str">
        <f>IF(AND(M17&gt;0,[11]EvaluaciónRiesgoCorrup1!$F$11&lt;51,F17=5,H17=5),$H$28,IF(AND(M17&gt;0,[11]EvaluaciónRiesgoCorrup1!$F$11&lt;51,F17=5,H17=10),$J$28,IF(AND(M17&gt;0,[11]EvaluaciónRiesgoCorrup1!$F$11&lt;51,F17=5,H17=20),$K$28," ")))</f>
        <v xml:space="preserve"> </v>
      </c>
    </row>
    <row r="18" spans="1:70" ht="153.75" customHeight="1" x14ac:dyDescent="0.35">
      <c r="A18" s="836" t="s">
        <v>485</v>
      </c>
      <c r="B18" s="837" t="s">
        <v>486</v>
      </c>
      <c r="C18" s="838" t="s">
        <v>487</v>
      </c>
      <c r="D18" s="839" t="s">
        <v>488</v>
      </c>
      <c r="E18" s="840" t="s">
        <v>106</v>
      </c>
      <c r="F18" s="841">
        <v>3</v>
      </c>
      <c r="G18" s="842" t="s">
        <v>107</v>
      </c>
      <c r="H18" s="843">
        <v>4</v>
      </c>
      <c r="I18" s="844" t="s">
        <v>108</v>
      </c>
      <c r="J18" s="845" t="s">
        <v>53</v>
      </c>
      <c r="K18" s="846" t="s">
        <v>489</v>
      </c>
      <c r="L18" s="25"/>
      <c r="M18" s="26" t="s">
        <v>10</v>
      </c>
      <c r="N18" s="847" t="s">
        <v>51</v>
      </c>
      <c r="O18" s="848" t="s">
        <v>211</v>
      </c>
      <c r="P18" s="849" t="s">
        <v>83</v>
      </c>
      <c r="Q18" s="866" t="s">
        <v>612</v>
      </c>
      <c r="R18" s="855" t="s">
        <v>490</v>
      </c>
      <c r="S18" s="857">
        <v>42947</v>
      </c>
      <c r="T18" s="695" t="s">
        <v>613</v>
      </c>
      <c r="U18" s="858" t="s">
        <v>484</v>
      </c>
      <c r="V18" s="409"/>
      <c r="X18" s="28" t="str">
        <f>IF(AND(F18=1,H18=5),$H$24,IF(AND(F18=1,H18=10),$J$24,IF(AND(F18=1,H18=20),$K$24," ")))</f>
        <v xml:space="preserve"> </v>
      </c>
      <c r="Y18" s="28" t="str">
        <f>IF(AND(F18=2,H18=5),$H$25,IF(AND(F18=2,H18=10),$J$25,IF(AND(F18=2,H18=20),$K$25," ")))</f>
        <v xml:space="preserve"> </v>
      </c>
      <c r="Z18" s="28" t="str">
        <f>IF(AND(F18=3,H18=5),$H$26,IF(AND(F18=3,H18=10),$J$26,IF(AND(F18=3,H18=20),$K$26," ")))</f>
        <v xml:space="preserve"> </v>
      </c>
      <c r="AA18" s="28" t="str">
        <f>IF(AND(F18=4,H18=5),$H$27,IF(AND(F18=4,H18=10),$J$27,IF(AND(F18=4,H18=20),$K$27," ")))</f>
        <v xml:space="preserve"> </v>
      </c>
      <c r="AB18" s="28" t="str">
        <f>IF(AND(F18=5,H18=5),$H$28,IF(AND(F18=5,H18=10),$J$28,IF(AND(F18=5,H18=20),$K$28," ")))</f>
        <v xml:space="preserve"> </v>
      </c>
      <c r="AE18" s="28" t="str">
        <f>IF(AND(L18&gt;0,[11]EvaluaciónRiesgoCorrup1!$F$11&gt;75,F18=1,H18=5),$H$24,IF(AND(L18&gt;0,[11]EvaluaciónRiesgoCorrup1!$F$11&gt;75,F18=1,H18=10),$J$24,IF(AND(L18&gt;0,[11]EvaluaciónRiesgoCorrup1!$F$11&gt;75,F18=1,H18=20),$K$24," ")))</f>
        <v xml:space="preserve"> </v>
      </c>
      <c r="AF18" s="28" t="str">
        <f>IF(AND(L18&gt;0,[11]EvaluaciónRiesgoCorrup1!$F$11&gt;75,F18=2,H18=5),$H$24,IF(AND(L18&gt;0,[11]EvaluaciónRiesgoCorrup1!$F$11&gt;75,F18=2,H18=10),$J$24,IF(AND(L18&gt;0,[11]EvaluaciónRiesgoCorrup1!$F$11&gt;75,F18=2,H18=20),$K$24," ")))</f>
        <v xml:space="preserve"> </v>
      </c>
      <c r="AG18" s="28" t="str">
        <f>IF(AND(L18&gt;0,[11]EvaluaciónRiesgoCorrup1!$F$11&gt;75,F18=3,H18=5),$H$24,IF(AND(L18&gt;0,[11]EvaluaciónRiesgoCorrup1!$F$11&gt;75,F18=3,H18=10),$J$24,IF(AND(L18&gt;0,[11]EvaluaciónRiesgoCorrup1!$F$11&gt;75,F18=3,H18=20),$K$24," ")))</f>
        <v xml:space="preserve"> </v>
      </c>
      <c r="AH18" s="28" t="str">
        <f>IF(AND(L18&gt;0,[11]EvaluaciónRiesgoCorrup1!$F$11&gt;75,F18=4,H18=5),$H$25,IF(AND(L18&gt;0,[11]EvaluaciónRiesgoCorrup1!$F$11&gt;75,F18=4,H18=10),$J$25,IF(AND(L18&gt;0,[11]EvaluaciónRiesgoCorrup1!$F$11&gt;75,F18=4,H18=20),$K$25," ")))</f>
        <v xml:space="preserve"> </v>
      </c>
      <c r="AI18" s="28" t="str">
        <f>IF(AND(L18&gt;0,[11]EvaluaciónRiesgoCorrup1!$F$11&gt;75,F18=5,H18=5),$H$26,IF(AND(L18&gt;0,[11]EvaluaciónRiesgoCorrup1!$F$11&gt;75,F18=5,H18=10),$J$26,IF(AND(L18&gt;0,[11]EvaluaciónRiesgoCorrup1!$F$11&gt;75,F18=5,H18=20),$K$26," ")))</f>
        <v xml:space="preserve"> </v>
      </c>
      <c r="AK18" s="28" t="str">
        <f>IF(AND(L18&gt;0,[11]EvaluaciónRiesgoCorrup1!$F$11&gt;50,[11]EvaluaciónRiesgoCorrup1!$F$11&lt;76,F18=1,H18=5),$H$24,IF(AND(L18&gt;0,[11]EvaluaciónRiesgoCorrup1!$F$11&gt;50,[11]EvaluaciónRiesgoCorrup1!$F$11&lt;76,F18=1,H18=10),$J$24,IF(AND(L18&gt;0,[11]EvaluaciónRiesgoCorrup1!$F$11&gt;50,[11]EvaluaciónRiesgoCorrup1!$F$11&lt;76,F18=1,H18=20),$K$24," ")))</f>
        <v xml:space="preserve"> </v>
      </c>
      <c r="AL18" s="28" t="str">
        <f>IF(AND(L18&gt;0,[11]EvaluaciónRiesgoCorrup1!$F$11&gt;50,[11]EvaluaciónRiesgoCorrup1!$F$11&lt;76,F18=2,H18=5),$H$24,IF(AND(L18&gt;0,[11]EvaluaciónRiesgoCorrup1!$F$11&gt;50,[11]EvaluaciónRiesgoCorrup1!$F$11&lt;76,F18=2,H18=10),$J$24,IF(AND(L18&gt;0,[11]EvaluaciónRiesgoCorrup1!$F$11&gt;50,[11]EvaluaciónRiesgoCorrup1!$F$11&lt;76,F18=2,H18=20),$K$24," ")))</f>
        <v xml:space="preserve"> </v>
      </c>
      <c r="AM18" s="28" t="str">
        <f>IF(AND(L18&gt;0,[11]EvaluaciónRiesgoCorrup1!$F$11&gt;50,[11]EvaluaciónRiesgoCorrup1!$F$11&lt;76,F18=3,H18=5),$H$25,IF(AND(L18&gt;0,[11]EvaluaciónRiesgoCorrup1!$F$11&gt;50,[11]EvaluaciónRiesgoCorrup1!$F$11&lt;76,F18=3,H18=10),$J$25,IF(AND(L18&gt;0,[11]EvaluaciónRiesgoCorrup1!$F$11&gt;50,[11]EvaluaciónRiesgoCorrup1!$F$11&lt;76,F18=3,H18=20),$K$25," ")))</f>
        <v xml:space="preserve"> </v>
      </c>
      <c r="AN18" s="28" t="str">
        <f>IF(AND(L18&gt;0,[11]EvaluaciónRiesgoCorrup1!$F$11&gt;50,[11]EvaluaciónRiesgoCorrup1!$F$11&lt;76,F18=4,H18=5),$H$26,IF(AND(L18&gt;0,[11]EvaluaciónRiesgoCorrup1!$F$11&gt;50,[11]EvaluaciónRiesgoCorrup1!$F$11&lt;76,F18=4,H18=10),$J$26,IF(AND(L18&gt;0,[11]EvaluaciónRiesgoCorrup1!$F$11&gt;50,[11]EvaluaciónRiesgoCorrup1!$F$11&lt;76,F18=4,H18=20),$K$26," ")))</f>
        <v xml:space="preserve"> </v>
      </c>
      <c r="AO18" s="28" t="str">
        <f>IF(AND(L18&gt;0,[11]EvaluaciónRiesgoCorrup1!$F$11&gt;50,[11]EvaluaciónRiesgoCorrup1!$F$11&lt;76,F18=5,H18=5),$H$27,IF(AND(L18&gt;0,[11]EvaluaciónRiesgoCorrup1!$F$11&gt;50,[11]EvaluaciónRiesgoCorrup1!$F$11&lt;76,F18=5,H18=10),$J$27,IF(AND(L18&gt;0,[11]EvaluaciónRiesgoCorrup1!$F$11&gt;50,[11]EvaluaciónRiesgoCorrup1!$F$11&lt;76,F18=5,H18=20),$K$27," ")))</f>
        <v xml:space="preserve"> </v>
      </c>
      <c r="AR18" s="28" t="str">
        <f>IF(AND(L18&gt;0,[11]EvaluaciónRiesgoCorrup1!$F$11&lt;51,F18=1,H18=5),$H$24,IF(AND(L18&gt;0,[11]EvaluaciónRiesgoCorrup1!$F$11&lt;51,F18=1,H18=10),$J$24,IF(AND(L18&gt;0,[11]EvaluaciónRiesgoCorrup1!$F$11&lt;51,F18=1,H18=20),K$24," ")))</f>
        <v xml:space="preserve"> </v>
      </c>
      <c r="AS18" s="28" t="str">
        <f>IF(AND(L18&gt;0,[11]EvaluaciónRiesgoCorrup1!$F$11&lt;51,F18=2,H18=5),$H$25,IF(AND(L18&gt;0,[11]EvaluaciónRiesgoCorrup1!$F$11&lt;51,F18=2,H18=10),$J$25,IF(AND(L18&gt;0,[11]EvaluaciónRiesgoCorrup1!$F$11&lt;51,F18=2,H18=20),K$25," ")))</f>
        <v xml:space="preserve"> </v>
      </c>
      <c r="AT18" s="28" t="str">
        <f>IF(AND(L18&gt;0,[11]EvaluaciónRiesgoCorrup1!$F$11&lt;51,F18=3,H18=5),$H$26,IF(AND(L18&gt;0,[11]EvaluaciónRiesgoCorrup1!$F$11&lt;51,F18=3,H18=10),$J$26,IF(AND(L18&gt;0,[11]EvaluaciónRiesgoCorrup1!$F$11&lt;51,F18=3,H18=20),K$26," ")))</f>
        <v xml:space="preserve"> </v>
      </c>
      <c r="AU18" s="28" t="str">
        <f>IF(AND(L18&gt;0,[11]EvaluaciónRiesgoCorrup1!$F$11&lt;51,F18=4,H18=5),$H$27,IF(AND(L18&gt;0,[11]EvaluaciónRiesgoCorrup1!$F$11&lt;51,F18=4,H18=10),$J$27,IF(AND(L18&gt;0,[11]EvaluaciónRiesgoCorrup1!$F$11&lt;51,F18=4,H18=20),K$27," ")))</f>
        <v xml:space="preserve"> </v>
      </c>
      <c r="AV18" s="28" t="str">
        <f>IF(AND(L18&gt;0,[11]EvaluaciónRiesgoCorrup1!$F$11&lt;51,F18=5,H18=5),$H$28,IF(AND(L18&gt;0,[11]EvaluaciónRiesgoCorrup1!$F$11&lt;51,F18=5,H18=10),$J$28,IF(AND(L18&gt;0,[11]EvaluaciónRiesgoCorrup1!$F$11&lt;51,F18=5,H18=20),K$28," ")))</f>
        <v xml:space="preserve"> </v>
      </c>
      <c r="AZ18" s="28" t="str">
        <f>IF(AND(M18&gt;0,[11]EvaluaciónRiesgoCorrup1!$F$11&gt;75,F18=1,H18=5),$H$24,IF(AND(M18&gt;0,[11]EvaluaciónRiesgoCorrup1!$F$11&gt;75,F18=1,H18=10),$H$24,IF(AND(M18&gt;0,[11]EvaluaciónRiesgoCorrup1!$F$11&gt;75,F18=1,H18=20),$H$24," ")))</f>
        <v xml:space="preserve"> </v>
      </c>
      <c r="BA18" s="28" t="str">
        <f>IF(AND(M18&gt;0,[11]EvaluaciónRiesgoCorrup1!$F$11&gt;75,F18=2,H18=5),$H$25,IF(AND(M18&gt;0,[11]EvaluaciónRiesgoCorrup1!$F$11&gt;75,F18=2,H18=10),$H$25,IF(AND(M18&gt;0,[11]EvaluaciónRiesgoCorrup1!$F$11&gt;75,F18=2,H18=20),$H$25," ")))</f>
        <v xml:space="preserve"> </v>
      </c>
      <c r="BB18" s="28" t="str">
        <f>IF(AND(M18&gt;0,[11]EvaluaciónRiesgoCorrup1!$F$11&gt;75,F18=3,H18=5),$H$26,IF(AND(M18&gt;0,[11]EvaluaciónRiesgoCorrup1!$F$11&gt;75,F18=3,H18=10),$H$26,IF(AND(M18&gt;0,[11]EvaluaciónRiesgoCorrup1!$F$11&gt;75,F18=3,H18=20),$H$26," ")))</f>
        <v xml:space="preserve"> </v>
      </c>
      <c r="BC18" s="28" t="str">
        <f>IF(AND(M18&gt;0,[11]EvaluaciónRiesgoCorrup1!$F$11&gt;75,F18=4,H18=5),$H$27,IF(AND(M18&gt;0,[11]EvaluaciónRiesgoCorrup1!$F$11&gt;75,F18=4,H18=10),$H$27,IF(AND(M18&gt;0,[11]EvaluaciónRiesgoCorrup1!$F$11&gt;75,F18=4,H18=20),$H$27," ")))</f>
        <v xml:space="preserve"> </v>
      </c>
      <c r="BD18" s="28" t="str">
        <f>IF(AND(M18&gt;0,[11]EvaluaciónRiesgoCorrup1!$F$11&gt;75,F18=5,H18=5),$H$28,IF(AND(M18&gt;0,[11]EvaluaciónRiesgoCorrup1!$F$11&gt;75,F18=5,H18=10),$H$28,IF(AND(M18&gt;0,[11]EvaluaciónRiesgoCorrup1!$F$11&gt;75,F18=5,H18=20),$H$28," ")))</f>
        <v xml:space="preserve"> </v>
      </c>
      <c r="BG18" s="28" t="str">
        <f>IF(AND(M18&gt;0,[11]EvaluaciónRiesgoCorrup1!$F$11&gt;50,[11]EvaluaciónRiesgoCorrup1!$F$11&lt;76,F18=1,H18=5),$H$24,IF(AND(M18&gt;0,[11]EvaluaciónRiesgoCorrup1!$F$11&gt;50,[11]EvaluaciónRiesgoCorrup1!$F$11&lt;76,F18=1,H18=10),$H$24,IF(AND(M18&gt;0,[11]EvaluaciónRiesgoCorrup1!$F$11&gt;50,[11]EvaluaciónRiesgoCorrup1!$F$11&lt;76,F18=1,H18=20),$J$24," ")))</f>
        <v xml:space="preserve"> </v>
      </c>
      <c r="BH18" s="28" t="str">
        <f>IF(AND(M18&gt;0,[11]EvaluaciónRiesgoCorrup1!$F$11&gt;50,[11]EvaluaciónRiesgoCorrup1!$F$11&lt;76,F18=2,H18=5),$H$25,IF(AND(M18&gt;0,[11]EvaluaciónRiesgoCorrup1!$F$11&gt;50,[11]EvaluaciónRiesgoCorrup1!$F$11&lt;76,F18=2,H18=10),$H$25,IF(AND(M18&gt;0,[11]EvaluaciónRiesgoCorrup1!$F$11&gt;50,[11]EvaluaciónRiesgoCorrup1!$F$11&lt;76,F18=2,H18=20),$J$25," ")))</f>
        <v xml:space="preserve"> </v>
      </c>
      <c r="BI18" s="28" t="str">
        <f>IF(AND(M18&gt;0,[11]EvaluaciónRiesgoCorrup1!$F$11&gt;50,[11]EvaluaciónRiesgoCorrup1!$F$11&lt;76,F18=3,H18=5),$H$26,IF(AND(M18&gt;0,[11]EvaluaciónRiesgoCorrup1!$F$11&gt;50,[11]EvaluaciónRiesgoCorrup1!$F$11&lt;76,F18=3,H18=10),$H$26,IF(AND(M18&gt;0,[11]EvaluaciónRiesgoCorrup1!$F$11&gt;50,[11]EvaluaciónRiesgoCorrup1!$F$11&lt;76,F18=3,H18=20),$J$26," ")))</f>
        <v xml:space="preserve"> </v>
      </c>
      <c r="BJ18" s="28" t="str">
        <f>IF(AND(M18&gt;0,[11]EvaluaciónRiesgoCorrup1!$F$11&gt;50,[11]EvaluaciónRiesgoCorrup1!$F$11&lt;76,F18=4,H18=5),$H$27,IF(AND(M18&gt;0,[11]EvaluaciónRiesgoCorrup1!$F$11&gt;50,[11]EvaluaciónRiesgoCorrup1!$F$11&lt;76,F18=4,H18=10),$H$27,IF(AND(M18&gt;0,[11]EvaluaciónRiesgoCorrup1!$F$11&gt;50,[11]EvaluaciónRiesgoCorrup1!$F$11&lt;76,F18=4,H18=20),$J$27," ")))</f>
        <v xml:space="preserve"> </v>
      </c>
      <c r="BK18" s="28" t="str">
        <f>IF(AND(M18&gt;0,[11]EvaluaciónRiesgoCorrup1!$F$11&gt;50,[11]EvaluaciónRiesgoCorrup1!$F$11&lt;76,F18=5,H18=5),$H$28,IF(AND(M18&gt;0,[11]EvaluaciónRiesgoCorrup1!$F$11&gt;50,[11]EvaluaciónRiesgoCorrup1!$F$11&lt;76,F18=5,H18=10),$H$28,IF(AND(M18&gt;0,[11]EvaluaciónRiesgoCorrup1!$F$11&gt;50,[11]EvaluaciónRiesgoCorrup1!$F$11&lt;76,F18=5,H18=20),$J$28," ")))</f>
        <v xml:space="preserve"> </v>
      </c>
      <c r="BN18" s="28" t="str">
        <f>IF(AND(M18&gt;0,[11]EvaluaciónRiesgoCorrup1!$F$11&lt;51,F18=1,H18=5),$H$24,IF(AND(M18&gt;0,[11]EvaluaciónRiesgoCorrup1!$F$11&lt;51,F18=1,H18=10),$J$24,IF(AND(M18&gt;0,[11]EvaluaciónRiesgoCorrup1!$F$11&lt;51,F18=1,H18=20),$K$24," ")))</f>
        <v xml:space="preserve"> </v>
      </c>
      <c r="BO18" s="28" t="str">
        <f>IF(AND(M18&gt;0,[11]EvaluaciónRiesgoCorrup1!$F$11&lt;51,F18=2,H18=5),$H$25,IF(AND(M18&gt;0,[11]EvaluaciónRiesgoCorrup1!$F$11&lt;51,F18=2,H18=10),$J$25,IF(AND(M18&gt;0,[11]EvaluaciónRiesgoCorrup1!$F$11&lt;51,F18=2,H18=20),$K$25," ")))</f>
        <v xml:space="preserve"> </v>
      </c>
      <c r="BP18" s="28" t="str">
        <f>IF(AND(M18&gt;0,[11]EvaluaciónRiesgoCorrup1!$F$11&lt;51,F18=3,H18=5),$H$26,IF(AND(M18&gt;0,[11]EvaluaciónRiesgoCorrup1!$F$11&lt;51,F18=3,H18=10),$J$26,IF(AND(M18&gt;0,[11]EvaluaciónRiesgoCorrup1!$F$11&lt;51,F18=3,H18=20),$K$26," ")))</f>
        <v xml:space="preserve"> </v>
      </c>
      <c r="BQ18" s="28" t="str">
        <f>IF(AND(M18&gt;0,[11]EvaluaciónRiesgoCorrup1!$F$11&lt;51,F18=4,H18=5),$H$27,IF(AND(M18&gt;0,[11]EvaluaciónRiesgoCorrup1!$F$11&lt;51,F18=4,H18=10),$J$27,IF(AND(M18&gt;0,[11]EvaluaciónRiesgoCorrup1!$F$11&lt;51,F18=4,H18=20),$K$27," ")))</f>
        <v xml:space="preserve"> </v>
      </c>
      <c r="BR18" s="28" t="str">
        <f>IF(AND(M18&gt;0,[11]EvaluaciónRiesgoCorrup1!$F$11&lt;51,F18=5,H18=5),$H$28,IF(AND(M18&gt;0,[11]EvaluaciónRiesgoCorrup1!$F$11&lt;51,F18=5,H18=10),$J$28,IF(AND(M18&gt;0,[11]EvaluaciónRiesgoCorrup1!$F$11&lt;51,F18=5,H18=20),$K$28," ")))</f>
        <v xml:space="preserve"> </v>
      </c>
    </row>
    <row r="19" spans="1:70" ht="162.75" customHeight="1" x14ac:dyDescent="0.35">
      <c r="A19" s="856" t="str">
        <f>IF(ISTEXT([12]IdentificaciónRiesgos!$B8),[12]IdentificaciónRiesgos!$A8,"")</f>
        <v>*Factores fisico ambientales
*No digitalizar documentos, libros o colecciones que se encuentren en soporte fisico.
*No contar con condiciones ténicas, y administrativas idoneas. 
*No contar con las condiciones fisicas de seguridad para la custodia de los documentos Institucionales.</v>
      </c>
      <c r="B19" s="856" t="str">
        <f>IF(ISTEXT([12]IdentificaciónRiesgos!$B8),[12]IdentificaciónRiesgos!$B8,"")</f>
        <v>Extravío de los documentos del archivo de gestión centralizado y del centro de documentación.</v>
      </c>
      <c r="C19" s="856" t="str">
        <f>IF(ISTEXT([12]IdentificaciónRiesgos!$B8),[12]IdentificaciónRiesgos!$C8,"")</f>
        <v xml:space="preserve">
Uso inadecuado de los usuarios y perdida de los documentos del archivo de gestión centralizado y del centro de documentación.</v>
      </c>
      <c r="D19" s="856" t="str">
        <f>IF(ISTEXT([12]IdentificaciónRiesgos!$B8),[12]IdentificaciónRiesgos!$D8,"")</f>
        <v>*Perdida de documentación y memoria institucional.  
*Insatisfacción del usuario interno y/o externo. 
* Procesos disciplinarios por perdida de documentos institucionales.
*Detrimiento patrimonial.</v>
      </c>
      <c r="E19" s="850" t="str">
        <f>IF(ISTEXT([12]IdentificaciónRiesgos!$B8),VLOOKUP($C19,[12]DefiniciónRiesgos!$A$4:$F$9,6,FALSE),"")</f>
        <v>RIESGO DE GESTIÓN</v>
      </c>
      <c r="F19" s="851">
        <f>IF(ISTEXT([12]IdentificaciónRiesgos!$B8),IF(EXACT([12]AnálisisRiesgos!$B11,"X"),5,IF(EXACT([12]AnálisisRiesgos!$C11,"X"),4,IF(EXACT([12]AnálisisRiesgos!$D11,"X"),3,IF(EXACT([12]AnálisisRiesgos!$E11,"X"),2,IF(EXACT([12]AnálisisRiesgos!$F11,"X"),1,""))))),"")</f>
        <v>4</v>
      </c>
      <c r="G19" s="851" t="str">
        <f t="shared" ref="G19:G21" si="0">IF(EXACT($F19,5),"Casí Seguro",IF(EXACT($F19,4),"Probable",IF(EXACT($F19,3),"Posible",IF(EXACT($F19,2),"Improbable","Rara Vez"))))</f>
        <v>Probable</v>
      </c>
      <c r="H19" s="852">
        <f>IF(EXACT($B19,""),"",IF(EXACT($E19,"RIESGO DE GESTIÓN"),IF(EXACT([12]AnálisisRiesgos!$G11,"X"),5,IF(EXACT([12]AnálisisRiesgos!$H11,"X"),4,IF(EXACT([12]AnálisisRiesgos!$I11,"X"),3,IF(EXACT([12]AnálisisRiesgos!$J11,"X"),2,1)))),IF(EXACT([12]AnálisisRiesgos!$L11,"X"),20,IF(EXACT([12]AnálisisRiesgos!$M11,"X"),10,5))))</f>
        <v>4</v>
      </c>
      <c r="I19" s="852" t="str">
        <f t="shared" ref="I19:I21" si="1">IF(EXACT($E19,"RIESGO DE GESTIÓN"),IF(EXACT($H19,1),"Insignificante",IF(EXACT($H19,2),"Menor",IF(EXACT($H19,3),"Moderado",IF(EXACT($H19,4),"Mayor","Catastrófico")))),IF(EXACT($H19,5),"Moderado",IF(EXACT($H19,10),"Mayor","Catastrófico")))</f>
        <v>Mayor</v>
      </c>
      <c r="J19" s="853" t="s">
        <v>53</v>
      </c>
      <c r="K19" s="819" t="s">
        <v>491</v>
      </c>
      <c r="L19" s="1067" t="s">
        <v>26</v>
      </c>
      <c r="M19" s="1068"/>
      <c r="N19" s="853" t="s">
        <v>51</v>
      </c>
      <c r="O19" s="865" t="s">
        <v>211</v>
      </c>
      <c r="P19" s="855" t="s">
        <v>83</v>
      </c>
      <c r="Q19" s="866" t="s">
        <v>492</v>
      </c>
      <c r="R19" s="860" t="s">
        <v>493</v>
      </c>
      <c r="S19" s="857">
        <v>42947</v>
      </c>
      <c r="T19" s="695" t="s">
        <v>614</v>
      </c>
      <c r="U19" s="858" t="s">
        <v>484</v>
      </c>
      <c r="V19" s="704"/>
    </row>
    <row r="20" spans="1:70" ht="170.25" customHeight="1" x14ac:dyDescent="0.35">
      <c r="A20" s="859" t="str">
        <f>IF(ISTEXT([12]IdentificaciónRiesgos!$B9),[12]IdentificaciónRiesgos!$A9,"")</f>
        <v xml:space="preserve">*No contar con condiciones ténicas, y administrativas idoneas. 
*Información desactualizada por parte de las áreas encargadas.
</v>
      </c>
      <c r="B20" s="850" t="str">
        <f>IF(ISTEXT([12]IdentificaciónRiesgos!$B9),[12]IdentificaciónRiesgos!$B9,"")</f>
        <v xml:space="preserve">No prestar un adecuado servicio de consulta de la información que reposa y produce el Instituto a los usuarios en general y al Sistema de Información Nacional Ambiental – SINA. </v>
      </c>
      <c r="C20" s="850" t="str">
        <f>IF(ISTEXT([12]IdentificaciónRiesgos!$B9),[12]IdentificaciónRiesgos!$C9,"")</f>
        <v xml:space="preserve">No disponer de forma adecuada, la información ambiental y administrativa del Instituto y del Sistema de Información Nacional Ambiental – SINA, con el fin de que sea consultada por los usuario externos y/o internos.  </v>
      </c>
      <c r="D20" s="850" t="str">
        <f>IF(ISTEXT([12]IdentificaciónRiesgos!$B9),[12]IdentificaciónRiesgos!$D9,"")</f>
        <v xml:space="preserve">*Insatisfacción del usuario interno y/o externo. 
*Perdida de confianza y crebilidad en la documentación institucional.
*Perdida de documentación y memoria institucional.  
*Generación de información erronea y desactualizada. 
</v>
      </c>
      <c r="E20" s="850" t="str">
        <f>IF(ISTEXT([12]IdentificaciónRiesgos!$B9),VLOOKUP($C20,[12]DefiniciónRiesgos!$A$4:$F$9,6,FALSE),"")</f>
        <v>RIESGO DE GESTIÓN</v>
      </c>
      <c r="F20" s="851">
        <f>IF(ISTEXT([12]IdentificaciónRiesgos!$B9),IF(EXACT([12]AnálisisRiesgos!$B12,"X"),5,IF(EXACT([12]AnálisisRiesgos!$C12,"X"),4,IF(EXACT([12]AnálisisRiesgos!$D12,"X"),3,IF(EXACT([12]AnálisisRiesgos!$E12,"X"),2,IF(EXACT([12]AnálisisRiesgos!$F12,"X"),1,""))))),"")</f>
        <v>2</v>
      </c>
      <c r="G20" s="851" t="str">
        <f t="shared" si="0"/>
        <v>Improbable</v>
      </c>
      <c r="H20" s="852">
        <f>IF(EXACT($B20,""),"",IF(EXACT($E20,"RIESGO DE GESTIÓN"),IF(EXACT([12]AnálisisRiesgos!$G12,"X"),5,IF(EXACT([12]AnálisisRiesgos!$H12,"X"),4,IF(EXACT([12]AnálisisRiesgos!$I12,"X"),3,IF(EXACT([12]AnálisisRiesgos!$J12,"X"),2,1)))),IF(EXACT([12]AnálisisRiesgos!$L12,"X"),20,IF(EXACT([12]AnálisisRiesgos!$M12,"X"),10,5))))</f>
        <v>3</v>
      </c>
      <c r="I20" s="852" t="str">
        <f t="shared" si="1"/>
        <v>Moderado</v>
      </c>
      <c r="J20" s="853" t="s">
        <v>49</v>
      </c>
      <c r="K20" s="861" t="s">
        <v>495</v>
      </c>
      <c r="L20" s="750"/>
      <c r="M20" s="409" t="s">
        <v>10</v>
      </c>
      <c r="N20" s="853" t="s">
        <v>49</v>
      </c>
      <c r="O20" s="865" t="s">
        <v>154</v>
      </c>
      <c r="P20" s="855" t="s">
        <v>83</v>
      </c>
      <c r="Q20" s="862" t="s">
        <v>615</v>
      </c>
      <c r="R20" s="855" t="s">
        <v>616</v>
      </c>
      <c r="S20" s="857">
        <v>42947</v>
      </c>
      <c r="T20" s="695" t="s">
        <v>617</v>
      </c>
      <c r="U20" s="858" t="s">
        <v>484</v>
      </c>
      <c r="V20" s="409"/>
      <c r="W20" s="409"/>
    </row>
    <row r="21" spans="1:70" ht="202.5" customHeight="1" x14ac:dyDescent="0.35">
      <c r="A21" s="859" t="str">
        <f>IF(ISTEXT([12]IdentificaciónRiesgos!$B10),[12]IdentificaciónRiesgos!$A10,"")</f>
        <v>Desconocimiento o mala aplicación de la normatividad vigente.
Desconocimiento de los procesos, procedimientos y otros documentos del Sistema de Gestión Integrado.</v>
      </c>
      <c r="B21" s="850" t="str">
        <f>IF(ISTEXT([12]IdentificaciónRiesgos!$B10),[12]IdentificaciónRiesgos!$B10,"")</f>
        <v>Inadecuado uso y manejo de los documentos públicos.</v>
      </c>
      <c r="C21" s="850" t="str">
        <f>IF(ISTEXT([12]IdentificaciónRiesgos!$B10),[12]IdentificaciónRiesgos!$C10,"")</f>
        <v>Inadecuado uso y manejo de los documentos públicos con beneficio personal o de terceros.</v>
      </c>
      <c r="D21" s="850" t="str">
        <f>IF(ISTEXT([12]IdentificaciónRiesgos!$B10),[12]IdentificaciónRiesgos!$D10,"")</f>
        <v>Sanciones disciplinarias.
Reprocesos y perdida de tiempo.
Mala imagen del Instituto.
Pérdida de la memoria Institucional.</v>
      </c>
      <c r="E21" s="850" t="str">
        <f>IF(ISTEXT([12]IdentificaciónRiesgos!$B10),VLOOKUP($C21,[12]DefiniciónRiesgos!$A$4:$F$9,6,FALSE),"")</f>
        <v>RIESGO DE CORRUPCIÓN</v>
      </c>
      <c r="F21" s="851">
        <f>IF(ISTEXT([12]IdentificaciónRiesgos!$B10),IF(EXACT([12]AnálisisRiesgos!$B13,"X"),5,IF(EXACT([12]AnálisisRiesgos!$C13,"X"),4,IF(EXACT([12]AnálisisRiesgos!$D13,"X"),3,IF(EXACT([12]AnálisisRiesgos!$E13,"X"),2,IF(EXACT([12]AnálisisRiesgos!$F13,"X"),1,""))))),"")</f>
        <v>1</v>
      </c>
      <c r="G21" s="851" t="str">
        <f t="shared" si="0"/>
        <v>Rara Vez</v>
      </c>
      <c r="H21" s="852">
        <f>IF(EXACT($B21,""),"",IF(EXACT($E21,"RIESGO DE GESTIÓN"),IF(EXACT([12]AnálisisRiesgos!$G13,"X"),5,IF(EXACT([12]AnálisisRiesgos!$H13,"X"),4,IF(EXACT([12]AnálisisRiesgos!$I13,"X"),3,IF(EXACT([12]AnálisisRiesgos!$J13,"X"),2,1)))),IF(EXACT([12]AnálisisRiesgos!$L13,"X"),20,IF(EXACT([12]AnálisisRiesgos!$M13,"X"),10,5))))</f>
        <v>10</v>
      </c>
      <c r="I21" s="852" t="str">
        <f t="shared" si="1"/>
        <v>Mayor</v>
      </c>
      <c r="J21" s="853" t="s">
        <v>48</v>
      </c>
      <c r="K21" s="863" t="s">
        <v>88</v>
      </c>
      <c r="L21" s="750"/>
      <c r="M21" s="409" t="s">
        <v>10</v>
      </c>
      <c r="N21" s="853" t="s">
        <v>48</v>
      </c>
      <c r="O21" s="854" t="s">
        <v>154</v>
      </c>
      <c r="P21" s="862" t="s">
        <v>61</v>
      </c>
      <c r="Q21" s="862" t="s">
        <v>618</v>
      </c>
      <c r="R21" s="862" t="s">
        <v>496</v>
      </c>
      <c r="S21" s="857">
        <v>42947</v>
      </c>
      <c r="T21" s="1013" t="s">
        <v>619</v>
      </c>
      <c r="U21" s="864" t="s">
        <v>484</v>
      </c>
      <c r="V21" s="409"/>
      <c r="W21" s="409"/>
    </row>
    <row r="22" spans="1:70" ht="215.25" customHeight="1" thickBot="1" x14ac:dyDescent="0.4">
      <c r="A22" s="6"/>
      <c r="B22" s="33"/>
      <c r="C22" s="423"/>
      <c r="D22" s="33"/>
      <c r="E22" s="423"/>
      <c r="F22" s="1082" t="s">
        <v>26</v>
      </c>
      <c r="G22" s="84"/>
      <c r="H22" s="1083" t="s">
        <v>10</v>
      </c>
      <c r="I22" s="1083"/>
      <c r="J22" s="1083"/>
      <c r="K22" s="1084"/>
      <c r="L22" s="2"/>
      <c r="Q22" s="5"/>
      <c r="S22" s="2"/>
    </row>
    <row r="23" spans="1:70" ht="32.25" customHeight="1" thickBot="1" x14ac:dyDescent="0.4">
      <c r="A23" s="5"/>
      <c r="B23" s="34" t="s">
        <v>42</v>
      </c>
      <c r="C23" s="411"/>
      <c r="D23" s="34"/>
      <c r="E23" s="411"/>
      <c r="F23" s="1020"/>
      <c r="G23" s="745"/>
      <c r="H23" s="35" t="s">
        <v>43</v>
      </c>
      <c r="I23" s="412"/>
      <c r="J23" s="36" t="s">
        <v>44</v>
      </c>
      <c r="K23" s="35" t="s">
        <v>45</v>
      </c>
      <c r="L23" s="2"/>
      <c r="Q23" s="5"/>
      <c r="S23" s="2"/>
    </row>
    <row r="24" spans="1:70" ht="14.5" thickBot="1" x14ac:dyDescent="0.4">
      <c r="B24" s="5" t="s">
        <v>46</v>
      </c>
      <c r="C24" s="402"/>
      <c r="F24" s="37" t="s">
        <v>47</v>
      </c>
      <c r="G24" s="413"/>
      <c r="H24" s="38" t="s">
        <v>48</v>
      </c>
      <c r="I24" s="414"/>
      <c r="J24" s="38" t="s">
        <v>48</v>
      </c>
      <c r="K24" s="39" t="s">
        <v>49</v>
      </c>
      <c r="L24" s="2"/>
      <c r="Q24" s="5"/>
      <c r="S24" s="2"/>
    </row>
    <row r="25" spans="1:70" ht="14.5" thickBot="1" x14ac:dyDescent="0.4">
      <c r="F25" s="37" t="s">
        <v>50</v>
      </c>
      <c r="G25" s="413"/>
      <c r="H25" s="38" t="s">
        <v>48</v>
      </c>
      <c r="I25" s="414"/>
      <c r="J25" s="39" t="s">
        <v>49</v>
      </c>
      <c r="K25" s="40" t="s">
        <v>51</v>
      </c>
      <c r="L25" s="2"/>
      <c r="Q25" s="5"/>
      <c r="S25" s="2"/>
    </row>
    <row r="26" spans="1:70" ht="14.5" thickBot="1" x14ac:dyDescent="0.4">
      <c r="F26" s="37" t="s">
        <v>52</v>
      </c>
      <c r="G26" s="413"/>
      <c r="H26" s="39" t="s">
        <v>49</v>
      </c>
      <c r="I26" s="415"/>
      <c r="J26" s="40" t="s">
        <v>51</v>
      </c>
      <c r="K26" s="41" t="s">
        <v>53</v>
      </c>
      <c r="L26" s="2"/>
      <c r="Q26" s="5"/>
      <c r="S26" s="2"/>
    </row>
    <row r="27" spans="1:70" ht="14.5" thickBot="1" x14ac:dyDescent="0.4">
      <c r="F27" s="37" t="s">
        <v>54</v>
      </c>
      <c r="G27" s="413"/>
      <c r="H27" s="39" t="s">
        <v>49</v>
      </c>
      <c r="I27" s="415"/>
      <c r="J27" s="40" t="s">
        <v>51</v>
      </c>
      <c r="K27" s="41" t="s">
        <v>53</v>
      </c>
      <c r="L27" s="2"/>
      <c r="Q27" s="5"/>
      <c r="S27" s="2"/>
    </row>
    <row r="28" spans="1:70" ht="14.5" thickBot="1" x14ac:dyDescent="0.4">
      <c r="F28" s="37" t="s">
        <v>55</v>
      </c>
      <c r="G28" s="413"/>
      <c r="H28" s="39" t="s">
        <v>49</v>
      </c>
      <c r="I28" s="415"/>
      <c r="J28" s="40" t="s">
        <v>51</v>
      </c>
      <c r="K28" s="41" t="s">
        <v>53</v>
      </c>
      <c r="L28" s="2"/>
      <c r="Q28" s="5"/>
      <c r="S28" s="2"/>
    </row>
    <row r="29" spans="1:70" x14ac:dyDescent="0.35">
      <c r="F29" s="2"/>
      <c r="G29" s="399"/>
      <c r="H29" s="2"/>
      <c r="I29" s="399"/>
      <c r="J29" s="2"/>
      <c r="K29" s="5"/>
      <c r="M29" s="5"/>
    </row>
    <row r="30" spans="1:70" x14ac:dyDescent="0.35">
      <c r="F30" s="42" t="s">
        <v>56</v>
      </c>
      <c r="G30" s="416"/>
      <c r="H30" s="2"/>
      <c r="I30" s="399"/>
      <c r="J30" s="2"/>
      <c r="K30" s="5"/>
      <c r="M30" s="5"/>
      <c r="N30" s="5"/>
      <c r="O30" s="402"/>
      <c r="P30" s="5"/>
    </row>
    <row r="31" spans="1:70" x14ac:dyDescent="0.35">
      <c r="F31" s="43" t="s">
        <v>57</v>
      </c>
      <c r="G31" s="417"/>
      <c r="H31" s="2"/>
      <c r="I31" s="399"/>
      <c r="J31" s="2"/>
      <c r="K31" s="5"/>
      <c r="M31" s="5"/>
      <c r="N31" s="5"/>
      <c r="O31" s="402"/>
      <c r="P31" s="5"/>
    </row>
    <row r="32" spans="1:70" x14ac:dyDescent="0.35">
      <c r="F32" s="44" t="s">
        <v>58</v>
      </c>
      <c r="G32" s="418"/>
      <c r="H32" s="2"/>
      <c r="I32" s="399"/>
      <c r="J32" s="2"/>
      <c r="K32" s="5"/>
      <c r="M32" s="5"/>
      <c r="N32" s="5"/>
      <c r="O32" s="402"/>
      <c r="P32" s="5"/>
    </row>
    <row r="33" spans="6:16" x14ac:dyDescent="0.35">
      <c r="F33" s="45" t="s">
        <v>59</v>
      </c>
      <c r="G33" s="419"/>
      <c r="H33" s="2"/>
      <c r="I33" s="399"/>
      <c r="J33" s="2"/>
      <c r="K33" s="5"/>
      <c r="M33" s="5"/>
      <c r="N33" s="5"/>
      <c r="O33" s="402"/>
      <c r="P33" s="5"/>
    </row>
  </sheetData>
  <mergeCells count="36">
    <mergeCell ref="T15:T16"/>
    <mergeCell ref="U15:U16"/>
    <mergeCell ref="V15:V16"/>
    <mergeCell ref="F22:F23"/>
    <mergeCell ref="H22:K22"/>
    <mergeCell ref="P15:R15"/>
    <mergeCell ref="L17:M17"/>
    <mergeCell ref="L19:M19"/>
    <mergeCell ref="A12:D12"/>
    <mergeCell ref="F12:V12"/>
    <mergeCell ref="AG13:AY13"/>
    <mergeCell ref="BA13:BT13"/>
    <mergeCell ref="A14:D14"/>
    <mergeCell ref="F14:H14"/>
    <mergeCell ref="K14:K16"/>
    <mergeCell ref="L14:N14"/>
    <mergeCell ref="P14:R14"/>
    <mergeCell ref="S14:V14"/>
    <mergeCell ref="A15:A16"/>
    <mergeCell ref="B15:B16"/>
    <mergeCell ref="D15:D16"/>
    <mergeCell ref="F15:H15"/>
    <mergeCell ref="L15:N15"/>
    <mergeCell ref="S15:S16"/>
    <mergeCell ref="A6:D6"/>
    <mergeCell ref="F6:V6"/>
    <mergeCell ref="A8:D8"/>
    <mergeCell ref="F8:V8"/>
    <mergeCell ref="A10:D10"/>
    <mergeCell ref="F10:V10"/>
    <mergeCell ref="A1:D4"/>
    <mergeCell ref="F1:T4"/>
    <mergeCell ref="U1:V1"/>
    <mergeCell ref="U2:V2"/>
    <mergeCell ref="U3:V3"/>
    <mergeCell ref="U4:V4"/>
  </mergeCells>
  <conditionalFormatting sqref="J17:J18 N17:O18">
    <cfRule type="containsText" dxfId="147" priority="25" operator="containsText" text="E">
      <formula>NOT(ISERROR(SEARCH("E",J17)))</formula>
    </cfRule>
    <cfRule type="containsText" dxfId="146" priority="26" operator="containsText" text="M">
      <formula>NOT(ISERROR(SEARCH("M",J17)))</formula>
    </cfRule>
    <cfRule type="containsText" dxfId="145" priority="27" operator="containsText" text="A">
      <formula>NOT(ISERROR(SEARCH("A",J17)))</formula>
    </cfRule>
    <cfRule type="containsText" dxfId="144" priority="28" operator="containsText" text="B">
      <formula>NOT(ISERROR(SEARCH("B",J17)))</formula>
    </cfRule>
  </conditionalFormatting>
  <conditionalFormatting sqref="J19">
    <cfRule type="containsText" dxfId="143" priority="21" operator="containsText" text="E">
      <formula>NOT(ISERROR(SEARCH("E",J19)))</formula>
    </cfRule>
    <cfRule type="containsText" dxfId="142" priority="22" operator="containsText" text="M">
      <formula>NOT(ISERROR(SEARCH("M",J19)))</formula>
    </cfRule>
    <cfRule type="containsText" dxfId="141" priority="23" operator="containsText" text="A">
      <formula>NOT(ISERROR(SEARCH("A",J19)))</formula>
    </cfRule>
    <cfRule type="containsText" dxfId="140" priority="24" operator="containsText" text="B">
      <formula>NOT(ISERROR(SEARCH("B",J19)))</formula>
    </cfRule>
  </conditionalFormatting>
  <conditionalFormatting sqref="N19">
    <cfRule type="containsText" dxfId="139" priority="17" operator="containsText" text="E">
      <formula>NOT(ISERROR(SEARCH("E",N19)))</formula>
    </cfRule>
    <cfRule type="containsText" dxfId="138" priority="18" operator="containsText" text="M">
      <formula>NOT(ISERROR(SEARCH("M",N19)))</formula>
    </cfRule>
    <cfRule type="containsText" dxfId="137" priority="19" operator="containsText" text="A">
      <formula>NOT(ISERROR(SEARCH("A",N19)))</formula>
    </cfRule>
    <cfRule type="containsText" dxfId="136" priority="20" operator="containsText" text="B">
      <formula>NOT(ISERROR(SEARCH("B",N19)))</formula>
    </cfRule>
  </conditionalFormatting>
  <conditionalFormatting sqref="J20">
    <cfRule type="containsText" dxfId="135" priority="13" operator="containsText" text="E">
      <formula>NOT(ISERROR(SEARCH("E",J20)))</formula>
    </cfRule>
    <cfRule type="containsText" dxfId="134" priority="14" operator="containsText" text="M">
      <formula>NOT(ISERROR(SEARCH("M",J20)))</formula>
    </cfRule>
    <cfRule type="containsText" dxfId="133" priority="15" operator="containsText" text="A">
      <formula>NOT(ISERROR(SEARCH("A",J20)))</formula>
    </cfRule>
    <cfRule type="containsText" dxfId="132" priority="16" operator="containsText" text="B">
      <formula>NOT(ISERROR(SEARCH("B",J20)))</formula>
    </cfRule>
  </conditionalFormatting>
  <conditionalFormatting sqref="N20">
    <cfRule type="containsText" dxfId="131" priority="9" operator="containsText" text="E">
      <formula>NOT(ISERROR(SEARCH("E",N20)))</formula>
    </cfRule>
    <cfRule type="containsText" dxfId="130" priority="10" operator="containsText" text="M">
      <formula>NOT(ISERROR(SEARCH("M",N20)))</formula>
    </cfRule>
    <cfRule type="containsText" dxfId="129" priority="11" operator="containsText" text="A">
      <formula>NOT(ISERROR(SEARCH("A",N20)))</formula>
    </cfRule>
    <cfRule type="containsText" dxfId="128" priority="12" operator="containsText" text="B">
      <formula>NOT(ISERROR(SEARCH("B",N20)))</formula>
    </cfRule>
  </conditionalFormatting>
  <conditionalFormatting sqref="J21">
    <cfRule type="containsText" dxfId="127" priority="5" operator="containsText" text="E">
      <formula>NOT(ISERROR(SEARCH("E",J21)))</formula>
    </cfRule>
    <cfRule type="containsText" dxfId="126" priority="6" operator="containsText" text="M">
      <formula>NOT(ISERROR(SEARCH("M",J21)))</formula>
    </cfRule>
    <cfRule type="containsText" dxfId="125" priority="7" operator="containsText" text="A">
      <formula>NOT(ISERROR(SEARCH("A",J21)))</formula>
    </cfRule>
    <cfRule type="containsText" dxfId="124" priority="8" operator="containsText" text="B">
      <formula>NOT(ISERROR(SEARCH("B",J21)))</formula>
    </cfRule>
  </conditionalFormatting>
  <conditionalFormatting sqref="N21">
    <cfRule type="containsText" dxfId="123" priority="1" operator="containsText" text="E">
      <formula>NOT(ISERROR(SEARCH("E",N21)))</formula>
    </cfRule>
    <cfRule type="containsText" dxfId="122" priority="2" operator="containsText" text="M">
      <formula>NOT(ISERROR(SEARCH("M",N21)))</formula>
    </cfRule>
    <cfRule type="containsText" dxfId="121" priority="3" operator="containsText" text="A">
      <formula>NOT(ISERROR(SEARCH("A",N21)))</formula>
    </cfRule>
    <cfRule type="containsText" dxfId="120" priority="4" operator="containsText" text="B">
      <formula>NOT(ISERROR(SEARCH("B",N21)))</formula>
    </cfRule>
  </conditionalFormatting>
  <dataValidations count="1">
    <dataValidation type="list" allowBlank="1" showInputMessage="1" showErrorMessage="1" promptTitle="AFECTA A:" prompt="Seleccione según a quien afecte el control" sqref="L19:M19">
      <formula1>$XFD$2:$XFD$3</formula1>
    </dataValidation>
  </dataValidations>
  <pageMargins left="0.7" right="0.7" top="0.75" bottom="0.75" header="0.3" footer="0.3"/>
  <pageSetup scale="1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
  <sheetViews>
    <sheetView showGridLines="0" view="pageBreakPreview" topLeftCell="O18" zoomScaleNormal="60" zoomScaleSheetLayoutView="100" workbookViewId="0">
      <selection activeCell="S20" sqref="S20"/>
    </sheetView>
  </sheetViews>
  <sheetFormatPr baseColWidth="10" defaultColWidth="11.453125" defaultRowHeight="14" x14ac:dyDescent="0.35"/>
  <cols>
    <col min="1" max="1" width="41.26953125" style="2" customWidth="1"/>
    <col min="2" max="5" width="40.453125" style="2" customWidth="1"/>
    <col min="6" max="7" width="27" style="5" customWidth="1"/>
    <col min="8" max="9" width="19" style="5" customWidth="1"/>
    <col min="10" max="10" width="26.7265625" style="5" customWidth="1"/>
    <col min="11" max="12" width="29.7265625" style="2" customWidth="1"/>
    <col min="13" max="13" width="17.7265625" style="5" customWidth="1"/>
    <col min="14" max="15" width="30" style="2" customWidth="1"/>
    <col min="16" max="16" width="36.26953125" style="2" customWidth="1"/>
    <col min="17" max="17" width="27.453125" style="2" customWidth="1"/>
    <col min="18" max="18" width="19.81640625" style="2" customWidth="1"/>
    <col min="19" max="19" width="36.453125" style="5" customWidth="1"/>
    <col min="20" max="20" width="45.7265625" style="2" customWidth="1"/>
    <col min="21" max="21" width="30.453125" style="2" customWidth="1"/>
    <col min="22" max="22" width="42.81640625" style="2" customWidth="1"/>
    <col min="23" max="23" width="30.453125" style="2" customWidth="1"/>
    <col min="24" max="24" width="36" style="2" hidden="1" customWidth="1"/>
    <col min="25" max="73" width="11.453125" style="2" hidden="1" customWidth="1"/>
    <col min="74" max="16384" width="11.453125" style="2"/>
  </cols>
  <sheetData>
    <row r="1" spans="1:72" ht="21" customHeight="1" x14ac:dyDescent="0.35">
      <c r="A1" s="1050"/>
      <c r="B1" s="1050"/>
      <c r="C1" s="1050"/>
      <c r="D1" s="1050"/>
      <c r="E1" s="79"/>
      <c r="F1" s="1051" t="s">
        <v>0</v>
      </c>
      <c r="G1" s="1052"/>
      <c r="H1" s="1052"/>
      <c r="I1" s="1052"/>
      <c r="J1" s="1052"/>
      <c r="K1" s="1052"/>
      <c r="L1" s="1052"/>
      <c r="M1" s="1052"/>
      <c r="N1" s="1052"/>
      <c r="O1" s="1052"/>
      <c r="P1" s="1052"/>
      <c r="Q1" s="1052"/>
      <c r="R1" s="1052"/>
      <c r="S1" s="1052"/>
      <c r="T1" s="1053"/>
      <c r="U1" s="1060" t="s">
        <v>1</v>
      </c>
      <c r="V1" s="1061"/>
      <c r="W1" s="1"/>
      <c r="X1" s="1"/>
    </row>
    <row r="2" spans="1:72" ht="22.5" customHeight="1" x14ac:dyDescent="0.35">
      <c r="A2" s="1050"/>
      <c r="B2" s="1050"/>
      <c r="C2" s="1050"/>
      <c r="D2" s="1050"/>
      <c r="E2" s="80"/>
      <c r="F2" s="1054"/>
      <c r="G2" s="1055"/>
      <c r="H2" s="1055"/>
      <c r="I2" s="1055"/>
      <c r="J2" s="1055"/>
      <c r="K2" s="1055"/>
      <c r="L2" s="1055"/>
      <c r="M2" s="1055"/>
      <c r="N2" s="1055"/>
      <c r="O2" s="1055"/>
      <c r="P2" s="1055"/>
      <c r="Q2" s="1055"/>
      <c r="R2" s="1055"/>
      <c r="S2" s="1055"/>
      <c r="T2" s="1056"/>
      <c r="U2" s="1060" t="s">
        <v>372</v>
      </c>
      <c r="V2" s="1061"/>
      <c r="W2" s="1"/>
      <c r="X2" s="1"/>
    </row>
    <row r="3" spans="1:72" ht="21" customHeight="1" x14ac:dyDescent="0.35">
      <c r="A3" s="1050"/>
      <c r="B3" s="1050"/>
      <c r="C3" s="1050"/>
      <c r="D3" s="1050"/>
      <c r="E3" s="80"/>
      <c r="F3" s="1054"/>
      <c r="G3" s="1055"/>
      <c r="H3" s="1055"/>
      <c r="I3" s="1055"/>
      <c r="J3" s="1055"/>
      <c r="K3" s="1055"/>
      <c r="L3" s="1055"/>
      <c r="M3" s="1055"/>
      <c r="N3" s="1055"/>
      <c r="O3" s="1055"/>
      <c r="P3" s="1055"/>
      <c r="Q3" s="1055"/>
      <c r="R3" s="1055"/>
      <c r="S3" s="1055"/>
      <c r="T3" s="1056"/>
      <c r="U3" s="1060" t="s">
        <v>373</v>
      </c>
      <c r="V3" s="1061"/>
      <c r="W3" s="1"/>
      <c r="X3" s="1"/>
    </row>
    <row r="4" spans="1:72" ht="20.25" customHeight="1" x14ac:dyDescent="0.35">
      <c r="A4" s="1050"/>
      <c r="B4" s="1050"/>
      <c r="C4" s="1050"/>
      <c r="D4" s="1050"/>
      <c r="E4" s="81"/>
      <c r="F4" s="1057"/>
      <c r="G4" s="1058"/>
      <c r="H4" s="1058"/>
      <c r="I4" s="1058"/>
      <c r="J4" s="1058"/>
      <c r="K4" s="1058"/>
      <c r="L4" s="1058"/>
      <c r="M4" s="1058"/>
      <c r="N4" s="1058"/>
      <c r="O4" s="1058"/>
      <c r="P4" s="1058"/>
      <c r="Q4" s="1058"/>
      <c r="R4" s="1058"/>
      <c r="S4" s="1058"/>
      <c r="T4" s="1059"/>
      <c r="U4" s="1060" t="s">
        <v>2</v>
      </c>
      <c r="V4" s="1061"/>
      <c r="W4" s="1"/>
      <c r="X4" s="1"/>
    </row>
    <row r="5" spans="1:72" ht="8.25" customHeight="1" x14ac:dyDescent="0.35">
      <c r="B5" s="3"/>
      <c r="C5" s="3"/>
      <c r="D5" s="3"/>
      <c r="E5" s="3"/>
      <c r="F5" s="4"/>
      <c r="G5" s="4"/>
      <c r="H5" s="4"/>
      <c r="I5" s="4"/>
      <c r="J5" s="4"/>
      <c r="K5" s="4"/>
      <c r="L5" s="4"/>
      <c r="M5" s="4"/>
      <c r="N5" s="4"/>
      <c r="O5" s="4"/>
      <c r="P5" s="4"/>
      <c r="Q5" s="4"/>
      <c r="W5" s="6"/>
      <c r="X5" s="6"/>
    </row>
    <row r="6" spans="1:72" x14ac:dyDescent="0.35">
      <c r="A6" s="1030" t="s">
        <v>3</v>
      </c>
      <c r="B6" s="1030"/>
      <c r="C6" s="1030"/>
      <c r="D6" s="1030"/>
      <c r="E6" s="82"/>
      <c r="F6" s="1044" t="str">
        <f>[13]IdentRiesgo!B2</f>
        <v xml:space="preserve">Gestión Jurídica y Contractual </v>
      </c>
      <c r="G6" s="1045"/>
      <c r="H6" s="1045"/>
      <c r="I6" s="1045"/>
      <c r="J6" s="1045"/>
      <c r="K6" s="1045"/>
      <c r="L6" s="1045"/>
      <c r="M6" s="1045"/>
      <c r="N6" s="1045"/>
      <c r="O6" s="1045"/>
      <c r="P6" s="1045"/>
      <c r="Q6" s="1045"/>
      <c r="R6" s="1045"/>
      <c r="S6" s="1045"/>
      <c r="T6" s="1045"/>
      <c r="U6" s="1045"/>
      <c r="V6" s="1046"/>
      <c r="W6" s="6"/>
      <c r="X6" s="6"/>
    </row>
    <row r="7" spans="1:72" ht="6.75" customHeight="1" x14ac:dyDescent="0.35">
      <c r="B7" s="3"/>
      <c r="C7" s="3"/>
      <c r="D7" s="3"/>
      <c r="E7" s="3"/>
      <c r="F7" s="7"/>
      <c r="G7" s="7"/>
      <c r="H7" s="7"/>
      <c r="I7" s="7"/>
      <c r="J7" s="7"/>
      <c r="K7" s="7"/>
      <c r="L7" s="7"/>
      <c r="M7" s="7"/>
      <c r="N7" s="7"/>
      <c r="O7" s="7"/>
      <c r="P7" s="7"/>
      <c r="Q7" s="7"/>
      <c r="R7" s="8"/>
      <c r="S7" s="8"/>
      <c r="T7" s="8"/>
      <c r="U7" s="8"/>
      <c r="V7" s="8"/>
      <c r="W7" s="6"/>
      <c r="X7" s="6"/>
    </row>
    <row r="8" spans="1:72" ht="39.75" customHeight="1" x14ac:dyDescent="0.35">
      <c r="A8" s="1030" t="s">
        <v>4</v>
      </c>
      <c r="B8" s="1030"/>
      <c r="C8" s="1030"/>
      <c r="D8" s="1030"/>
      <c r="E8" s="82"/>
      <c r="F8" s="1047" t="str">
        <f>[13]IdentRiesgo!B3</f>
        <v>Asesorar a las diferentes dependencias del Instituto en temas de carácter contractual en sus diferentes etapas (precontractual, contractual y postcontractual), verificando que las mismas se ajustan a la normatividad vigente.</v>
      </c>
      <c r="G8" s="1048"/>
      <c r="H8" s="1048"/>
      <c r="I8" s="1048"/>
      <c r="J8" s="1048"/>
      <c r="K8" s="1048"/>
      <c r="L8" s="1048"/>
      <c r="M8" s="1048"/>
      <c r="N8" s="1048"/>
      <c r="O8" s="1048"/>
      <c r="P8" s="1048"/>
      <c r="Q8" s="1048"/>
      <c r="R8" s="1048"/>
      <c r="S8" s="1048"/>
      <c r="T8" s="1048"/>
      <c r="U8" s="1048"/>
      <c r="V8" s="1049"/>
      <c r="W8" s="9"/>
      <c r="X8" s="9"/>
    </row>
    <row r="9" spans="1:72" ht="6.75" customHeight="1" x14ac:dyDescent="0.35">
      <c r="B9" s="10"/>
      <c r="C9" s="10"/>
      <c r="D9" s="10"/>
      <c r="E9" s="10"/>
      <c r="F9" s="11"/>
      <c r="G9" s="11"/>
      <c r="H9" s="11"/>
      <c r="I9" s="11"/>
      <c r="J9" s="11"/>
      <c r="K9" s="11"/>
      <c r="L9" s="11"/>
      <c r="M9" s="11"/>
      <c r="N9" s="11"/>
      <c r="O9" s="11"/>
      <c r="P9" s="11"/>
      <c r="Q9" s="11"/>
      <c r="R9" s="8"/>
      <c r="S9" s="8"/>
      <c r="T9" s="8"/>
      <c r="U9" s="8"/>
      <c r="V9" s="8"/>
      <c r="W9" s="6"/>
      <c r="X9" s="6"/>
    </row>
    <row r="10" spans="1:72" x14ac:dyDescent="0.35">
      <c r="A10" s="1030" t="s">
        <v>5</v>
      </c>
      <c r="B10" s="1030"/>
      <c r="C10" s="1030"/>
      <c r="D10" s="1030"/>
      <c r="E10" s="82"/>
      <c r="F10" s="1031" t="s">
        <v>65</v>
      </c>
      <c r="G10" s="1032"/>
      <c r="H10" s="1032"/>
      <c r="I10" s="1032"/>
      <c r="J10" s="1032"/>
      <c r="K10" s="1032"/>
      <c r="L10" s="1032"/>
      <c r="M10" s="1032"/>
      <c r="N10" s="1032"/>
      <c r="O10" s="1032"/>
      <c r="P10" s="1032"/>
      <c r="Q10" s="1032"/>
      <c r="R10" s="1032"/>
      <c r="S10" s="1032"/>
      <c r="T10" s="1032"/>
      <c r="U10" s="1032"/>
      <c r="V10" s="1033"/>
      <c r="W10" s="12"/>
      <c r="X10" s="12"/>
    </row>
    <row r="11" spans="1:72" ht="5.25" customHeight="1" x14ac:dyDescent="0.35">
      <c r="B11" s="3"/>
      <c r="C11" s="3"/>
      <c r="D11" s="3"/>
      <c r="E11" s="3"/>
      <c r="F11" s="13"/>
      <c r="G11" s="13"/>
      <c r="H11" s="13"/>
      <c r="I11" s="13"/>
      <c r="J11" s="13"/>
      <c r="K11" s="13"/>
      <c r="L11" s="13"/>
      <c r="M11" s="13"/>
      <c r="N11" s="13"/>
      <c r="O11" s="13"/>
      <c r="P11" s="13"/>
      <c r="Q11" s="13"/>
      <c r="R11" s="8"/>
      <c r="S11" s="8"/>
      <c r="T11" s="8"/>
      <c r="U11" s="8"/>
      <c r="V11" s="8"/>
      <c r="W11" s="6"/>
      <c r="X11" s="6"/>
    </row>
    <row r="12" spans="1:72" x14ac:dyDescent="0.35">
      <c r="A12" s="1030" t="s">
        <v>6</v>
      </c>
      <c r="B12" s="1030"/>
      <c r="C12" s="1030"/>
      <c r="D12" s="1030"/>
      <c r="E12" s="82"/>
      <c r="F12" s="1031" t="s">
        <v>449</v>
      </c>
      <c r="G12" s="1032"/>
      <c r="H12" s="1032"/>
      <c r="I12" s="1032"/>
      <c r="J12" s="1032"/>
      <c r="K12" s="1032"/>
      <c r="L12" s="1032"/>
      <c r="M12" s="1032"/>
      <c r="N12" s="1032"/>
      <c r="O12" s="1032"/>
      <c r="P12" s="1032"/>
      <c r="Q12" s="1032"/>
      <c r="R12" s="1032"/>
      <c r="S12" s="1032"/>
      <c r="T12" s="1032"/>
      <c r="U12" s="1032"/>
      <c r="V12" s="1033"/>
      <c r="W12" s="12"/>
      <c r="X12" s="12"/>
      <c r="AA12" s="2" t="s">
        <v>7</v>
      </c>
    </row>
    <row r="13" spans="1:72" ht="14.5" thickBot="1" x14ac:dyDescent="0.4">
      <c r="B13" s="3"/>
      <c r="C13" s="3"/>
      <c r="D13" s="3"/>
      <c r="E13" s="3"/>
      <c r="F13" s="14"/>
      <c r="G13" s="14"/>
      <c r="H13" s="15"/>
      <c r="I13" s="15"/>
      <c r="J13" s="15"/>
      <c r="K13" s="7"/>
      <c r="L13" s="7"/>
      <c r="M13" s="15"/>
      <c r="N13" s="7"/>
      <c r="O13" s="7"/>
      <c r="P13" s="7"/>
      <c r="Q13" s="7"/>
      <c r="R13" s="7"/>
      <c r="S13" s="15"/>
      <c r="T13" s="7"/>
      <c r="W13" s="6"/>
      <c r="X13" s="6"/>
      <c r="AA13" s="2" t="s">
        <v>8</v>
      </c>
      <c r="AG13" s="1034" t="s">
        <v>9</v>
      </c>
      <c r="AH13" s="1034"/>
      <c r="AI13" s="1034"/>
      <c r="AJ13" s="1034"/>
      <c r="AK13" s="1034"/>
      <c r="AL13" s="1034"/>
      <c r="AM13" s="1034"/>
      <c r="AN13" s="1034"/>
      <c r="AO13" s="1034"/>
      <c r="AP13" s="1034"/>
      <c r="AQ13" s="1034"/>
      <c r="AR13" s="1034"/>
      <c r="AS13" s="1034"/>
      <c r="AT13" s="1034"/>
      <c r="AU13" s="1034"/>
      <c r="AV13" s="1034"/>
      <c r="AW13" s="1034"/>
      <c r="AX13" s="1034"/>
      <c r="AY13" s="1034"/>
      <c r="BA13" s="1034" t="s">
        <v>10</v>
      </c>
      <c r="BB13" s="1034"/>
      <c r="BC13" s="1034"/>
      <c r="BD13" s="1034"/>
      <c r="BE13" s="1034"/>
      <c r="BF13" s="1034"/>
      <c r="BG13" s="1034"/>
      <c r="BH13" s="1034"/>
      <c r="BI13" s="1034"/>
      <c r="BJ13" s="1034"/>
      <c r="BK13" s="1034"/>
      <c r="BL13" s="1034"/>
      <c r="BM13" s="1034"/>
      <c r="BN13" s="1034"/>
      <c r="BO13" s="1034"/>
      <c r="BP13" s="1034"/>
      <c r="BQ13" s="1034"/>
      <c r="BR13" s="1034"/>
      <c r="BS13" s="1034"/>
      <c r="BT13" s="1034"/>
    </row>
    <row r="14" spans="1:72" s="17" customFormat="1" ht="15" customHeight="1" x14ac:dyDescent="0.35">
      <c r="A14" s="1035" t="s">
        <v>11</v>
      </c>
      <c r="B14" s="1036"/>
      <c r="C14" s="1036"/>
      <c r="D14" s="1037"/>
      <c r="E14" s="83"/>
      <c r="F14" s="1038" t="s">
        <v>12</v>
      </c>
      <c r="G14" s="1038"/>
      <c r="H14" s="1038"/>
      <c r="I14" s="16"/>
      <c r="J14" s="16"/>
      <c r="K14" s="1039" t="s">
        <v>13</v>
      </c>
      <c r="L14" s="104"/>
      <c r="M14" s="1035" t="s">
        <v>14</v>
      </c>
      <c r="N14" s="1037"/>
      <c r="O14" s="176"/>
      <c r="P14" s="1042" t="s">
        <v>15</v>
      </c>
      <c r="Q14" s="1042"/>
      <c r="R14" s="1042"/>
      <c r="S14" s="1042" t="s">
        <v>16</v>
      </c>
      <c r="T14" s="1042"/>
      <c r="U14" s="1042"/>
      <c r="V14" s="1042"/>
    </row>
    <row r="15" spans="1:72" s="17" customFormat="1" ht="14.25" customHeight="1" x14ac:dyDescent="0.35">
      <c r="A15" s="1040" t="s">
        <v>17</v>
      </c>
      <c r="B15" s="1040" t="s">
        <v>18</v>
      </c>
      <c r="C15" s="177"/>
      <c r="D15" s="1040" t="s">
        <v>19</v>
      </c>
      <c r="E15" s="177"/>
      <c r="F15" s="1018" t="s">
        <v>20</v>
      </c>
      <c r="G15" s="1018"/>
      <c r="H15" s="1018"/>
      <c r="I15" s="180"/>
      <c r="J15" s="18"/>
      <c r="K15" s="1040"/>
      <c r="L15" s="103"/>
      <c r="M15" s="1023" t="s">
        <v>21</v>
      </c>
      <c r="N15" s="1025"/>
      <c r="O15" s="182"/>
      <c r="P15" s="1023" t="s">
        <v>22</v>
      </c>
      <c r="Q15" s="1024"/>
      <c r="R15" s="1025"/>
      <c r="S15" s="1018" t="s">
        <v>23</v>
      </c>
      <c r="T15" s="1018" t="s">
        <v>24</v>
      </c>
      <c r="U15" s="1018" t="s">
        <v>5</v>
      </c>
      <c r="V15" s="1018" t="s">
        <v>25</v>
      </c>
    </row>
    <row r="16" spans="1:72" s="17" customFormat="1" ht="63" customHeight="1" thickBot="1" x14ac:dyDescent="0.4">
      <c r="A16" s="1043"/>
      <c r="B16" s="1043"/>
      <c r="C16" s="179" t="s">
        <v>96</v>
      </c>
      <c r="D16" s="1043"/>
      <c r="E16" s="179" t="s">
        <v>97</v>
      </c>
      <c r="F16" s="18" t="s">
        <v>26</v>
      </c>
      <c r="G16" s="180" t="s">
        <v>96</v>
      </c>
      <c r="H16" s="18" t="s">
        <v>10</v>
      </c>
      <c r="I16" s="180" t="s">
        <v>96</v>
      </c>
      <c r="J16" s="18" t="s">
        <v>27</v>
      </c>
      <c r="K16" s="1041"/>
      <c r="L16" s="178" t="s">
        <v>98</v>
      </c>
      <c r="M16" s="19" t="s">
        <v>26</v>
      </c>
      <c r="N16" s="20" t="s">
        <v>27</v>
      </c>
      <c r="O16" s="179" t="s">
        <v>100</v>
      </c>
      <c r="P16" s="18" t="s">
        <v>28</v>
      </c>
      <c r="Q16" s="18" t="s">
        <v>24</v>
      </c>
      <c r="R16" s="18" t="s">
        <v>29</v>
      </c>
      <c r="S16" s="1018"/>
      <c r="T16" s="1018"/>
      <c r="U16" s="1018"/>
      <c r="V16" s="1018"/>
    </row>
    <row r="17" spans="1:70" ht="201" customHeight="1" x14ac:dyDescent="0.35">
      <c r="A17" s="243" t="s">
        <v>176</v>
      </c>
      <c r="B17" s="244" t="s">
        <v>177</v>
      </c>
      <c r="C17" s="245" t="s">
        <v>178</v>
      </c>
      <c r="D17" s="246" t="s">
        <v>179</v>
      </c>
      <c r="E17" s="247" t="s">
        <v>106</v>
      </c>
      <c r="F17" s="248">
        <v>1</v>
      </c>
      <c r="G17" s="249" t="s">
        <v>121</v>
      </c>
      <c r="H17" s="250">
        <v>4</v>
      </c>
      <c r="I17" s="251" t="s">
        <v>108</v>
      </c>
      <c r="J17" s="252" t="s">
        <v>51</v>
      </c>
      <c r="K17" s="253" t="s">
        <v>180</v>
      </c>
      <c r="L17" s="1065" t="s">
        <v>26</v>
      </c>
      <c r="M17" s="1066"/>
      <c r="N17" s="254" t="s">
        <v>51</v>
      </c>
      <c r="O17" s="255" t="s">
        <v>110</v>
      </c>
      <c r="P17" s="855" t="s">
        <v>83</v>
      </c>
      <c r="Q17" s="1014" t="s">
        <v>181</v>
      </c>
      <c r="R17" s="855" t="s">
        <v>620</v>
      </c>
      <c r="S17" s="857">
        <v>42947</v>
      </c>
      <c r="T17" s="256" t="s">
        <v>181</v>
      </c>
      <c r="U17" s="257" t="s">
        <v>182</v>
      </c>
      <c r="V17" s="242" t="s">
        <v>183</v>
      </c>
      <c r="X17" s="28" t="str">
        <f>IF(AND(F17=1,H17=5),$H$25,IF(AND(F17=1,H17=10),$J$25,IF(AND(F17=1,H17=20),$K$25," ")))</f>
        <v xml:space="preserve"> </v>
      </c>
      <c r="Y17" s="28" t="str">
        <f>IF(AND(F17=2,H17=5),$H$26,IF(AND(F17=2,H17=10),$J$26,IF(AND(F17=2,H17=20),$K$26," ")))</f>
        <v xml:space="preserve"> </v>
      </c>
      <c r="Z17" s="28" t="str">
        <f>IF(AND(F17=3,H17=5),$H$27,IF(AND(F17=3,H17=10),$J$27,IF(AND(F17=3,H17=20),$K$27," ")))</f>
        <v xml:space="preserve"> </v>
      </c>
      <c r="AA17" s="28" t="str">
        <f>IF(AND(F17=4,H17=5),$H$28,IF(AND(F17=4,H17=10),$J$28,IF(AND(F17=4,H17=20),$K$28," ")))</f>
        <v xml:space="preserve"> </v>
      </c>
      <c r="AB17" s="28" t="str">
        <f>IF(AND(F17=5,H17=5),$H$29,IF(AND(F17=5,H17=10),$J$29,IF(AND(F17=5,H17=20),$K$29," ")))</f>
        <v xml:space="preserve"> </v>
      </c>
      <c r="AD17" s="29" t="s">
        <v>31</v>
      </c>
      <c r="AE17" s="28" t="str">
        <f>IF(AND(M17&gt;0,[14]EvaluaciónRiesgoCorrup!$F$11&gt;75,F17=1,H17=5),$H$25,IF(AND(M17&gt;0,[14]EvaluaciónRiesgoCorrup!$F$11&gt;75,F17=1,H17=10),$J$25,IF(AND(M17&gt;0,[14]EvaluaciónRiesgoCorrup!$F$11&gt;75,F17=1,H17=20),$K$25," ")))</f>
        <v xml:space="preserve"> </v>
      </c>
      <c r="AF17" s="28" t="str">
        <f>IF(AND(M17&gt;0,[14]EvaluaciónRiesgoCorrup!$F$11&gt;75,F17=2,H17=5),$H$25,IF(AND(M17&gt;0,[14]EvaluaciónRiesgoCorrup!$F$11&gt;75,F17=2,H17=10),$J$25,IF(AND(M17&gt;0,[14]EvaluaciónRiesgoCorrup!$F$11&gt;75,F17=2,H17=20),$K$25," ")))</f>
        <v xml:space="preserve"> </v>
      </c>
      <c r="AG17" s="28" t="str">
        <f>IF(AND(M17&gt;0,[14]EvaluaciónRiesgoCorrup!$F$11&gt;75,F17=3,H17=5),$H$25,IF(AND(M17&gt;0,[14]EvaluaciónRiesgoCorrup!$F$11&gt;75,F17=3,H17=10),$J$25,IF(AND(M17&gt;0,[14]EvaluaciónRiesgoCorrup!$F$11&gt;75,F17=3,H17=20),$K$25," ")))</f>
        <v xml:space="preserve"> </v>
      </c>
      <c r="AH17" s="28" t="str">
        <f>IF(AND(M17&gt;0,[14]EvaluaciónRiesgoCorrup!$F$11&gt;75,F17=4,H17=5),$H$26,IF(AND(M17&gt;0,[14]EvaluaciónRiesgoCorrup!$F$11&gt;75,F17=4,H17=10),$J$26,IF(AND(M17&gt;0,[14]EvaluaciónRiesgoCorrup!$F$11&gt;75,F17=4,H17=20),$K$26," ")))</f>
        <v xml:space="preserve"> </v>
      </c>
      <c r="AI17" s="28" t="str">
        <f>IF(AND(M17&gt;0,[14]EvaluaciónRiesgoCorrup!$F$11&gt;75,F17=5,H17=5),$H$27,IF(AND(M17&gt;0,[14]EvaluaciónRiesgoCorrup!$F$11&gt;75,F17=5,H17=10),$J$27,IF(AND(M17&gt;0,[14]EvaluaciónRiesgoCorrup!$F$11&gt;75,F17=5,H17=20),$K$27," ")))</f>
        <v xml:space="preserve"> </v>
      </c>
      <c r="AJ17" s="29" t="s">
        <v>32</v>
      </c>
      <c r="AK17" s="28" t="str">
        <f>IF(AND(M17&gt;0,[14]EvaluaciónRiesgoCorrup!$F$11&gt;50,[14]EvaluaciónRiesgoCorrup!$F$11&lt;76,F17=1,H17=5),$H$25,IF(AND(M17&gt;0,[14]EvaluaciónRiesgoCorrup!$F$11&gt;50,[14]EvaluaciónRiesgoCorrup!$F$11&lt;76,F17=1,H17=10),$J$25,IF(AND(M17&gt;0,[14]EvaluaciónRiesgoCorrup!$F$11&gt;50,[14]EvaluaciónRiesgoCorrup!$F$11&lt;76,F17=1,H17=20),$K$25," ")))</f>
        <v xml:space="preserve"> </v>
      </c>
      <c r="AL17" s="28" t="str">
        <f>IF(AND(M17&gt;0,[14]EvaluaciónRiesgoCorrup!$F$11&gt;50,[14]EvaluaciónRiesgoCorrup!$F$11&lt;76,F17=2,H17=5),$H$25,IF(AND(M17&gt;0,[14]EvaluaciónRiesgoCorrup!$F$11&gt;50,[14]EvaluaciónRiesgoCorrup!$F$11&lt;76,F17=2,H17=10),$J$25,IF(AND(M17&gt;0,[14]EvaluaciónRiesgoCorrup!$F$11&gt;50,[14]EvaluaciónRiesgoCorrup!$F$11&lt;76,F17=2,H17=20),$K$25," ")))</f>
        <v xml:space="preserve"> </v>
      </c>
      <c r="AM17" s="28" t="str">
        <f>IF(AND(M17&gt;0,[14]EvaluaciónRiesgoCorrup!$F$11&gt;50,[14]EvaluaciónRiesgoCorrup!$F$11&lt;76,F17=3,H17=5),$H$26,IF(AND(M17&gt;0,[14]EvaluaciónRiesgoCorrup!$F$11&gt;50,[14]EvaluaciónRiesgoCorrup!$F$11&lt;76,F17=3,H17=10),$J$26,IF(AND(M17&gt;0,[14]EvaluaciónRiesgoCorrup!$F$11&gt;50,[14]EvaluaciónRiesgoCorrup!$F$11&lt;76,F17=3,H17=20),$K$26," ")))</f>
        <v xml:space="preserve"> </v>
      </c>
      <c r="AN17" s="28" t="str">
        <f>IF(AND(M17&gt;0,[14]EvaluaciónRiesgoCorrup!$F$11&gt;50,[14]EvaluaciónRiesgoCorrup!$F$11&lt;76,F17=4,H17=5),$H$27,IF(AND(M17&gt;0,[14]EvaluaciónRiesgoCorrup!$F$11&gt;50,[14]EvaluaciónRiesgoCorrup!$F$11&lt;76,F17=4,H17=10),$J$27,IF(AND(M17&gt;0,[14]EvaluaciónRiesgoCorrup!$F$11&gt;50,[14]EvaluaciónRiesgoCorrup!$F$11&lt;76,F17=4,H17=20),$K$27," ")))</f>
        <v xml:space="preserve"> </v>
      </c>
      <c r="AO17" s="28" t="str">
        <f>IF(AND(M17&gt;0,[14]EvaluaciónRiesgoCorrup!$F$11&gt;50,[14]EvaluaciónRiesgoCorrup!$F$11&lt;76,F17=5,H17=5),$H$28,IF(AND(M17&gt;0,[14]EvaluaciónRiesgoCorrup!$F$11&gt;50,[14]EvaluaciónRiesgoCorrup!$F$11&lt;76,F17=5,H17=10),$J$28,IF(AND(M17&gt;0,[14]EvaluaciónRiesgoCorrup!$F$11&gt;50,[14]EvaluaciónRiesgoCorrup!$F$11&lt;76,F17=5,H17=20),$K$28," ")))</f>
        <v xml:space="preserve"> </v>
      </c>
      <c r="AQ17" s="29" t="s">
        <v>33</v>
      </c>
      <c r="AR17" s="28" t="str">
        <f>IF(AND(M17&gt;0,[14]EvaluaciónRiesgoCorrup!$F$11&lt;51,F17=1,H17=5),$H$25,IF(AND(M17&gt;0,[14]EvaluaciónRiesgoCorrup!$F$11&lt;51,F17=1,H17=10),$J$25,IF(AND(M17&gt;0,[14]EvaluaciónRiesgoCorrup!$F$11&lt;51,F17=1,H17=20),K$25," ")))</f>
        <v xml:space="preserve"> </v>
      </c>
      <c r="AS17" s="28" t="str">
        <f>IF(AND(M17&gt;0,[14]EvaluaciónRiesgoCorrup!$F$11&lt;51,F17=2,H17=5),$H$26,IF(AND(M17&gt;0,[14]EvaluaciónRiesgoCorrup!$F$11&lt;51,F17=2,H17=10),$J$26,IF(AND(M17&gt;0,[14]EvaluaciónRiesgoCorrup!$F$11&lt;51,F17=2,H17=20),K$26," ")))</f>
        <v xml:space="preserve"> </v>
      </c>
      <c r="AT17" s="28" t="str">
        <f>IF(AND(M17&gt;0,[14]EvaluaciónRiesgoCorrup!$F$11&lt;51,F17=3,H17=5),$H$27,IF(AND(M17&gt;0,[14]EvaluaciónRiesgoCorrup!$F$11&lt;51,F17=3,H17=10),$J$27,IF(AND(M17&gt;0,[14]EvaluaciónRiesgoCorrup!$F$11&lt;51,F17=3,H17=20),K$27," ")))</f>
        <v xml:space="preserve"> </v>
      </c>
      <c r="AU17" s="28" t="str">
        <f>IF(AND(M17&gt;0,[14]EvaluaciónRiesgoCorrup!$F$11&lt;51,F17=4,H17=5),$H$28,IF(AND(M17&gt;0,[14]EvaluaciónRiesgoCorrup!$F$11&lt;51,F17=4,H17=10),$J$28,IF(AND(M17&gt;0,[14]EvaluaciónRiesgoCorrup!$F$11&lt;51,F17=4,H17=20),K$28," ")))</f>
        <v xml:space="preserve"> </v>
      </c>
      <c r="AV17" s="28" t="str">
        <f>IF(AND(M17&gt;0,[14]EvaluaciónRiesgoCorrup!$F$11&lt;51,F17=5,H17=5),$H$29,IF(AND(M17&gt;0,[14]EvaluaciónRiesgoCorrup!$F$11&lt;51,F17=5,H17=10),$J$29,IF(AND(M17&gt;0,[14]EvaluaciónRiesgoCorrup!$F$11&lt;51,F17=5,H17=20),K$29," ")))</f>
        <v xml:space="preserve"> </v>
      </c>
      <c r="AY17" s="29" t="s">
        <v>31</v>
      </c>
      <c r="AZ17" s="28" t="e">
        <f>IF(AND(#REF!&gt;0,[14]EvaluaciónRiesgoCorrup!$F$11&gt;75,F17=1,H17=5),$H$25,IF(AND(#REF!&gt;0,[14]EvaluaciónRiesgoCorrup!$F$11&gt;75,F17=1,H17=10),$H$25,IF(AND(#REF!&gt;0,[14]EvaluaciónRiesgoCorrup!$F$11&gt;75,F17=1,H17=20),$H$25," ")))</f>
        <v>#REF!</v>
      </c>
      <c r="BA17" s="28" t="e">
        <f>IF(AND(#REF!&gt;0,[14]EvaluaciónRiesgoCorrup!$F$11&gt;75,F17=2,H17=5),$H$26,IF(AND(#REF!&gt;0,[14]EvaluaciónRiesgoCorrup!$F$11&gt;75,F17=2,H17=10),$H$26,IF(AND(#REF!&gt;0,[14]EvaluaciónRiesgoCorrup!$F$11&gt;75,F17=2,H17=20),$H$26," ")))</f>
        <v>#REF!</v>
      </c>
      <c r="BB17" s="28" t="e">
        <f>IF(AND(#REF!&gt;0,[14]EvaluaciónRiesgoCorrup!$F$11&gt;75,F17=3,H17=5),$H$27,IF(AND(#REF!&gt;0,[14]EvaluaciónRiesgoCorrup!$F$11&gt;75,F17=3,H17=10),$H$27,IF(AND(#REF!&gt;0,[14]EvaluaciónRiesgoCorrup!$F$11&gt;75,F17=3,H17=20),$H$27," ")))</f>
        <v>#REF!</v>
      </c>
      <c r="BC17" s="28" t="e">
        <f>IF(AND(#REF!&gt;0,[14]EvaluaciónRiesgoCorrup!$F$11&gt;75,F17=4,H17=5),$H$28,IF(AND(#REF!&gt;0,[14]EvaluaciónRiesgoCorrup!$F$11&gt;75,F17=4,H17=10),$H$28,IF(AND(#REF!&gt;0,[14]EvaluaciónRiesgoCorrup!$F$11&gt;75,F17=4,H17=20),$H$28," ")))</f>
        <v>#REF!</v>
      </c>
      <c r="BD17" s="28" t="e">
        <f>IF(AND(#REF!&gt;0,[14]EvaluaciónRiesgoCorrup!$F$11&gt;75,F17=5,H17=5),$H$29,IF(AND(#REF!&gt;0,[14]EvaluaciónRiesgoCorrup!$F$11&gt;75,F17=5,H17=10),$H$29,IF(AND(#REF!&gt;0,[14]EvaluaciónRiesgoCorrup!$F$11&gt;75,F17=5,H17=20),$H$29," ")))</f>
        <v>#REF!</v>
      </c>
      <c r="BF17" s="29" t="s">
        <v>32</v>
      </c>
      <c r="BG17" s="28" t="e">
        <f>IF(AND(#REF!&gt;0,[14]EvaluaciónRiesgoCorrup!$F$11&gt;50,[14]EvaluaciónRiesgoCorrup!$F$11&lt;76,F17=1,H17=5),$H$25,IF(AND(#REF!&gt;0,[14]EvaluaciónRiesgoCorrup!$F$11&gt;50,[14]EvaluaciónRiesgoCorrup!$F$11&lt;76,F17=1,H17=10),$H$25,IF(AND(#REF!&gt;0,[14]EvaluaciónRiesgoCorrup!$F$11&gt;50,[14]EvaluaciónRiesgoCorrup!$F$11&lt;76,F17=1,H17=20),$J$25," ")))</f>
        <v>#REF!</v>
      </c>
      <c r="BH17" s="28" t="e">
        <f>IF(AND(#REF!&gt;0,[14]EvaluaciónRiesgoCorrup!$F$11&gt;50,[14]EvaluaciónRiesgoCorrup!$F$11&lt;76,F17=2,H17=5),$H$26,IF(AND(#REF!&gt;0,[14]EvaluaciónRiesgoCorrup!$F$11&gt;50,[14]EvaluaciónRiesgoCorrup!$F$11&lt;76,F17=2,H17=10),$H$26,IF(AND(#REF!&gt;0,[14]EvaluaciónRiesgoCorrup!$F$11&gt;50,[14]EvaluaciónRiesgoCorrup!$F$11&lt;76,F17=2,H17=20),$J$26," ")))</f>
        <v>#REF!</v>
      </c>
      <c r="BI17" s="28" t="e">
        <f>IF(AND(#REF!&gt;0,[14]EvaluaciónRiesgoCorrup!$F$11&gt;50,[14]EvaluaciónRiesgoCorrup!$F$11&lt;76,F17=3,H17=5),$H$27,IF(AND(#REF!&gt;0,[14]EvaluaciónRiesgoCorrup!$F$11&gt;50,[14]EvaluaciónRiesgoCorrup!$F$11&lt;76,F17=3,H17=10),$H$27,IF(AND(#REF!&gt;0,[14]EvaluaciónRiesgoCorrup!$F$11&gt;50,[14]EvaluaciónRiesgoCorrup!$F$11&lt;76,F17=3,H17=20),$J$27," ")))</f>
        <v>#REF!</v>
      </c>
      <c r="BJ17" s="28" t="e">
        <f>IF(AND(#REF!&gt;0,[14]EvaluaciónRiesgoCorrup!$F$11&gt;50,[14]EvaluaciónRiesgoCorrup!$F$11&lt;76,F17=4,H17=5),$H$28,IF(AND(#REF!&gt;0,[14]EvaluaciónRiesgoCorrup!$F$11&gt;50,[14]EvaluaciónRiesgoCorrup!$F$11&lt;76,F17=4,H17=10),$H$28,IF(AND(#REF!&gt;0,[14]EvaluaciónRiesgoCorrup!$F$11&gt;50,[14]EvaluaciónRiesgoCorrup!$F$11&lt;76,F17=4,H17=20),$J$28," ")))</f>
        <v>#REF!</v>
      </c>
      <c r="BK17" s="28" t="e">
        <f>IF(AND(#REF!&gt;0,[14]EvaluaciónRiesgoCorrup!$F$11&gt;50,[14]EvaluaciónRiesgoCorrup!$F$11&lt;76,F17=5,H17=5),$H$29,IF(AND(#REF!&gt;0,[14]EvaluaciónRiesgoCorrup!$F$11&gt;50,[14]EvaluaciónRiesgoCorrup!$F$11&lt;76,F17=5,H17=10),$H$29,IF(AND(#REF!&gt;0,[14]EvaluaciónRiesgoCorrup!$F$11&gt;50,[14]EvaluaciónRiesgoCorrup!$F$11&lt;76,F17=5,H17=20),$J$29," ")))</f>
        <v>#REF!</v>
      </c>
      <c r="BM17" s="29" t="s">
        <v>33</v>
      </c>
      <c r="BN17" s="28" t="e">
        <f>IF(AND(#REF!&gt;0,[14]EvaluaciónRiesgoCorrup!$F$11&lt;51,F17=1,H17=5),$H$25,IF(AND(#REF!&gt;0,[14]EvaluaciónRiesgoCorrup!$F$11&lt;51,F17=1,H17=10),$J$25,IF(AND(#REF!&gt;0,[14]EvaluaciónRiesgoCorrup!$F$11&lt;51,F17=1,H17=20),$K$25," ")))</f>
        <v>#REF!</v>
      </c>
      <c r="BO17" s="28" t="e">
        <f>IF(AND(#REF!&gt;0,[14]EvaluaciónRiesgoCorrup!$F$11&lt;51,F17=2,H17=5),$H$26,IF(AND(#REF!&gt;0,[14]EvaluaciónRiesgoCorrup!$F$11&lt;51,F17=2,H17=10),$J$26,IF(AND(#REF!&gt;0,[14]EvaluaciónRiesgoCorrup!$F$11&lt;51,F17=2,H17=20),$K$26," ")))</f>
        <v>#REF!</v>
      </c>
      <c r="BP17" s="28" t="e">
        <f>IF(AND(#REF!&gt;0,[14]EvaluaciónRiesgoCorrup!$F$11&lt;51,F17=3,H17=5),$H$27,IF(AND(#REF!&gt;0,[14]EvaluaciónRiesgoCorrup!$F$11&lt;51,F17=3,H17=10),$J$27,IF(AND(#REF!&gt;0,[14]EvaluaciónRiesgoCorrup!$F$11&lt;51,F17=3,H17=20),$K$27," ")))</f>
        <v>#REF!</v>
      </c>
      <c r="BQ17" s="28" t="e">
        <f>IF(AND(#REF!&gt;0,[14]EvaluaciónRiesgoCorrup!$F$11&lt;51,F17=4,H17=5),$H$28,IF(AND(#REF!&gt;0,[14]EvaluaciónRiesgoCorrup!$F$11&lt;51,F17=4,H17=10),$J$28,IF(AND(#REF!&gt;0,[14]EvaluaciónRiesgoCorrup!$F$11&lt;51,F17=4,H17=20),$K$28," ")))</f>
        <v>#REF!</v>
      </c>
      <c r="BR17" s="28" t="e">
        <f>IF(AND(#REF!&gt;0,[14]EvaluaciónRiesgoCorrup!$F$11&lt;51,F17=5,H17=5),$H$29,IF(AND(#REF!&gt;0,[14]EvaluaciónRiesgoCorrup!$F$11&lt;51,F17=5,H17=10),$J$29,IF(AND(#REF!&gt;0,[14]EvaluaciónRiesgoCorrup!$F$11&lt;51,F17=5,H17=20),$K$29," ")))</f>
        <v>#REF!</v>
      </c>
    </row>
    <row r="18" spans="1:70" ht="153.75" customHeight="1" thickBot="1" x14ac:dyDescent="0.4">
      <c r="A18" s="258" t="s">
        <v>184</v>
      </c>
      <c r="B18" s="259" t="s">
        <v>185</v>
      </c>
      <c r="C18" s="260" t="s">
        <v>186</v>
      </c>
      <c r="D18" s="261" t="s">
        <v>187</v>
      </c>
      <c r="E18" s="262" t="s">
        <v>106</v>
      </c>
      <c r="F18" s="263">
        <v>1</v>
      </c>
      <c r="G18" s="264" t="s">
        <v>121</v>
      </c>
      <c r="H18" s="265">
        <v>5</v>
      </c>
      <c r="I18" s="266" t="s">
        <v>122</v>
      </c>
      <c r="J18" s="267" t="s">
        <v>51</v>
      </c>
      <c r="K18" s="268" t="s">
        <v>188</v>
      </c>
      <c r="L18" s="1065" t="s">
        <v>26</v>
      </c>
      <c r="M18" s="1066"/>
      <c r="N18" s="269" t="s">
        <v>51</v>
      </c>
      <c r="O18" s="270" t="s">
        <v>110</v>
      </c>
      <c r="P18" s="855" t="s">
        <v>83</v>
      </c>
      <c r="Q18" s="1015" t="s">
        <v>189</v>
      </c>
      <c r="R18" s="855" t="s">
        <v>621</v>
      </c>
      <c r="S18" s="857">
        <v>42947</v>
      </c>
      <c r="T18" s="271" t="s">
        <v>189</v>
      </c>
      <c r="U18" s="272" t="s">
        <v>182</v>
      </c>
      <c r="V18" s="242" t="s">
        <v>190</v>
      </c>
      <c r="X18" s="28" t="str">
        <f>IF(AND(F18=1,H18=5),$H$25,IF(AND(F18=1,H18=10),$J$25,IF(AND(F18=1,H18=20),$K$25," ")))</f>
        <v>B</v>
      </c>
      <c r="Y18" s="28" t="str">
        <f>IF(AND(F18=2,H18=5),$H$26,IF(AND(F18=2,H18=10),$J$26,IF(AND(F18=2,H18=20),$K$26," ")))</f>
        <v xml:space="preserve"> </v>
      </c>
      <c r="Z18" s="28" t="str">
        <f>IF(AND(F18=3,H18=5),$H$27,IF(AND(F18=3,H18=10),$J$27,IF(AND(F18=3,H18=20),$K$27," ")))</f>
        <v xml:space="preserve"> </v>
      </c>
      <c r="AA18" s="28" t="str">
        <f>IF(AND(F18=4,H18=5),$H$28,IF(AND(F18=4,H18=10),$J$28,IF(AND(F18=4,H18=20),$K$28," ")))</f>
        <v xml:space="preserve"> </v>
      </c>
      <c r="AB18" s="28" t="str">
        <f>IF(AND(F18=5,H18=5),$H$29,IF(AND(F18=5,H18=10),$J$29,IF(AND(F18=5,H18=20),$K$29," ")))</f>
        <v xml:space="preserve"> </v>
      </c>
      <c r="AE18" s="28" t="str">
        <f>IF(AND(M18&gt;0,[14]EvaluaciónRiesgoCorrup!$F$11&gt;75,F18=1,H18=5),$H$25,IF(AND(M18&gt;0,[14]EvaluaciónRiesgoCorrup!$F$11&gt;75,F18=1,H18=10),$J$25,IF(AND(M18&gt;0,[14]EvaluaciónRiesgoCorrup!$F$11&gt;75,F18=1,H18=20),$K$25," ")))</f>
        <v xml:space="preserve"> </v>
      </c>
      <c r="AF18" s="28" t="str">
        <f>IF(AND(M18&gt;0,[14]EvaluaciónRiesgoCorrup!$F$11&gt;75,F18=2,H18=5),$H$25,IF(AND(M18&gt;0,[14]EvaluaciónRiesgoCorrup!$F$11&gt;75,F18=2,H18=10),$J$25,IF(AND(M18&gt;0,[14]EvaluaciónRiesgoCorrup!$F$11&gt;75,F18=2,H18=20),$K$25," ")))</f>
        <v xml:space="preserve"> </v>
      </c>
      <c r="AG18" s="28" t="str">
        <f>IF(AND(M18&gt;0,[14]EvaluaciónRiesgoCorrup!$F$11&gt;75,F18=3,H18=5),$H$25,IF(AND(M18&gt;0,[14]EvaluaciónRiesgoCorrup!$F$11&gt;75,F18=3,H18=10),$J$25,IF(AND(M18&gt;0,[14]EvaluaciónRiesgoCorrup!$F$11&gt;75,F18=3,H18=20),$K$25," ")))</f>
        <v xml:space="preserve"> </v>
      </c>
      <c r="AH18" s="28" t="str">
        <f>IF(AND(M18&gt;0,[14]EvaluaciónRiesgoCorrup!$F$11&gt;75,F18=4,H18=5),$H$26,IF(AND(M18&gt;0,[14]EvaluaciónRiesgoCorrup!$F$11&gt;75,F18=4,H18=10),$J$26,IF(AND(M18&gt;0,[14]EvaluaciónRiesgoCorrup!$F$11&gt;75,F18=4,H18=20),$K$26," ")))</f>
        <v xml:space="preserve"> </v>
      </c>
      <c r="AI18" s="28" t="str">
        <f>IF(AND(M18&gt;0,[14]EvaluaciónRiesgoCorrup!$F$11&gt;75,F18=5,H18=5),$H$27,IF(AND(M18&gt;0,[14]EvaluaciónRiesgoCorrup!$F$11&gt;75,F18=5,H18=10),$J$27,IF(AND(M18&gt;0,[14]EvaluaciónRiesgoCorrup!$F$11&gt;75,F18=5,H18=20),$K$27," ")))</f>
        <v xml:space="preserve"> </v>
      </c>
      <c r="AK18" s="28" t="str">
        <f>IF(AND(M18&gt;0,[14]EvaluaciónRiesgoCorrup!$F$11&gt;50,[14]EvaluaciónRiesgoCorrup!$F$11&lt;76,F18=1,H18=5),$H$25,IF(AND(M18&gt;0,[14]EvaluaciónRiesgoCorrup!$F$11&gt;50,[14]EvaluaciónRiesgoCorrup!$F$11&lt;76,F18=1,H18=10),$J$25,IF(AND(M18&gt;0,[14]EvaluaciónRiesgoCorrup!$F$11&gt;50,[14]EvaluaciónRiesgoCorrup!$F$11&lt;76,F18=1,H18=20),$K$25," ")))</f>
        <v xml:space="preserve"> </v>
      </c>
      <c r="AL18" s="28" t="str">
        <f>IF(AND(M18&gt;0,[14]EvaluaciónRiesgoCorrup!$F$11&gt;50,[14]EvaluaciónRiesgoCorrup!$F$11&lt;76,F18=2,H18=5),$H$25,IF(AND(M18&gt;0,[14]EvaluaciónRiesgoCorrup!$F$11&gt;50,[14]EvaluaciónRiesgoCorrup!$F$11&lt;76,F18=2,H18=10),$J$25,IF(AND(M18&gt;0,[14]EvaluaciónRiesgoCorrup!$F$11&gt;50,[14]EvaluaciónRiesgoCorrup!$F$11&lt;76,F18=2,H18=20),$K$25," ")))</f>
        <v xml:space="preserve"> </v>
      </c>
      <c r="AM18" s="28" t="str">
        <f>IF(AND(M18&gt;0,[14]EvaluaciónRiesgoCorrup!$F$11&gt;50,[14]EvaluaciónRiesgoCorrup!$F$11&lt;76,F18=3,H18=5),$H$26,IF(AND(M18&gt;0,[14]EvaluaciónRiesgoCorrup!$F$11&gt;50,[14]EvaluaciónRiesgoCorrup!$F$11&lt;76,F18=3,H18=10),$J$26,IF(AND(M18&gt;0,[14]EvaluaciónRiesgoCorrup!$F$11&gt;50,[14]EvaluaciónRiesgoCorrup!$F$11&lt;76,F18=3,H18=20),$K$26," ")))</f>
        <v xml:space="preserve"> </v>
      </c>
      <c r="AN18" s="28" t="str">
        <f>IF(AND(M18&gt;0,[14]EvaluaciónRiesgoCorrup!$F$11&gt;50,[14]EvaluaciónRiesgoCorrup!$F$11&lt;76,F18=4,H18=5),$H$27,IF(AND(M18&gt;0,[14]EvaluaciónRiesgoCorrup!$F$11&gt;50,[14]EvaluaciónRiesgoCorrup!$F$11&lt;76,F18=4,H18=10),$J$27,IF(AND(M18&gt;0,[14]EvaluaciónRiesgoCorrup!$F$11&gt;50,[14]EvaluaciónRiesgoCorrup!$F$11&lt;76,F18=4,H18=20),$K$27," ")))</f>
        <v xml:space="preserve"> </v>
      </c>
      <c r="AO18" s="28" t="str">
        <f>IF(AND(M18&gt;0,[14]EvaluaciónRiesgoCorrup!$F$11&gt;50,[14]EvaluaciónRiesgoCorrup!$F$11&lt;76,F18=5,H18=5),$H$28,IF(AND(M18&gt;0,[14]EvaluaciónRiesgoCorrup!$F$11&gt;50,[14]EvaluaciónRiesgoCorrup!$F$11&lt;76,F18=5,H18=10),$J$28,IF(AND(M18&gt;0,[14]EvaluaciónRiesgoCorrup!$F$11&gt;50,[14]EvaluaciónRiesgoCorrup!$F$11&lt;76,F18=5,H18=20),$K$28," ")))</f>
        <v xml:space="preserve"> </v>
      </c>
      <c r="AR18" s="28" t="str">
        <f>IF(AND(M18&gt;0,[14]EvaluaciónRiesgoCorrup!$F$11&lt;51,F18=1,H18=5),$H$25,IF(AND(M18&gt;0,[14]EvaluaciónRiesgoCorrup!$F$11&lt;51,F18=1,H18=10),$J$25,IF(AND(M18&gt;0,[14]EvaluaciónRiesgoCorrup!$F$11&lt;51,F18=1,H18=20),K$25," ")))</f>
        <v xml:space="preserve"> </v>
      </c>
      <c r="AS18" s="28" t="str">
        <f>IF(AND(M18&gt;0,[14]EvaluaciónRiesgoCorrup!$F$11&lt;51,F18=2,H18=5),$H$26,IF(AND(M18&gt;0,[14]EvaluaciónRiesgoCorrup!$F$11&lt;51,F18=2,H18=10),$J$26,IF(AND(M18&gt;0,[14]EvaluaciónRiesgoCorrup!$F$11&lt;51,F18=2,H18=20),K$26," ")))</f>
        <v xml:space="preserve"> </v>
      </c>
      <c r="AT18" s="28" t="str">
        <f>IF(AND(M18&gt;0,[14]EvaluaciónRiesgoCorrup!$F$11&lt;51,F18=3,H18=5),$H$27,IF(AND(M18&gt;0,[14]EvaluaciónRiesgoCorrup!$F$11&lt;51,F18=3,H18=10),$J$27,IF(AND(M18&gt;0,[14]EvaluaciónRiesgoCorrup!$F$11&lt;51,F18=3,H18=20),K$27," ")))</f>
        <v xml:space="preserve"> </v>
      </c>
      <c r="AU18" s="28" t="str">
        <f>IF(AND(M18&gt;0,[14]EvaluaciónRiesgoCorrup!$F$11&lt;51,F18=4,H18=5),$H$28,IF(AND(M18&gt;0,[14]EvaluaciónRiesgoCorrup!$F$11&lt;51,F18=4,H18=10),$J$28,IF(AND(M18&gt;0,[14]EvaluaciónRiesgoCorrup!$F$11&lt;51,F18=4,H18=20),K$28," ")))</f>
        <v xml:space="preserve"> </v>
      </c>
      <c r="AV18" s="28" t="str">
        <f>IF(AND(M18&gt;0,[14]EvaluaciónRiesgoCorrup!$F$11&lt;51,F18=5,H18=5),$H$29,IF(AND(M18&gt;0,[14]EvaluaciónRiesgoCorrup!$F$11&lt;51,F18=5,H18=10),$J$29,IF(AND(M18&gt;0,[14]EvaluaciónRiesgoCorrup!$F$11&lt;51,F18=5,H18=20),K$29," ")))</f>
        <v xml:space="preserve"> </v>
      </c>
      <c r="AZ18" s="28" t="e">
        <f>IF(AND(#REF!&gt;0,[14]EvaluaciónRiesgoCorrup!$F$11&gt;75,F18=1,H18=5),$H$25,IF(AND(#REF!&gt;0,[14]EvaluaciónRiesgoCorrup!$F$11&gt;75,F18=1,H18=10),$H$25,IF(AND(#REF!&gt;0,[14]EvaluaciónRiesgoCorrup!$F$11&gt;75,F18=1,H18=20),$H$25," ")))</f>
        <v>#REF!</v>
      </c>
      <c r="BA18" s="28" t="e">
        <f>IF(AND(#REF!&gt;0,[14]EvaluaciónRiesgoCorrup!$F$11&gt;75,F18=2,H18=5),$H$26,IF(AND(#REF!&gt;0,[14]EvaluaciónRiesgoCorrup!$F$11&gt;75,F18=2,H18=10),$H$26,IF(AND(#REF!&gt;0,[14]EvaluaciónRiesgoCorrup!$F$11&gt;75,F18=2,H18=20),$H$26," ")))</f>
        <v>#REF!</v>
      </c>
      <c r="BB18" s="28" t="e">
        <f>IF(AND(#REF!&gt;0,[14]EvaluaciónRiesgoCorrup!$F$11&gt;75,F18=3,H18=5),$H$27,IF(AND(#REF!&gt;0,[14]EvaluaciónRiesgoCorrup!$F$11&gt;75,F18=3,H18=10),$H$27,IF(AND(#REF!&gt;0,[14]EvaluaciónRiesgoCorrup!$F$11&gt;75,F18=3,H18=20),$H$27," ")))</f>
        <v>#REF!</v>
      </c>
      <c r="BC18" s="28" t="e">
        <f>IF(AND(#REF!&gt;0,[14]EvaluaciónRiesgoCorrup!$F$11&gt;75,F18=4,H18=5),$H$28,IF(AND(#REF!&gt;0,[14]EvaluaciónRiesgoCorrup!$F$11&gt;75,F18=4,H18=10),$H$28,IF(AND(#REF!&gt;0,[14]EvaluaciónRiesgoCorrup!$F$11&gt;75,F18=4,H18=20),$H$28," ")))</f>
        <v>#REF!</v>
      </c>
      <c r="BD18" s="28" t="e">
        <f>IF(AND(#REF!&gt;0,[14]EvaluaciónRiesgoCorrup!$F$11&gt;75,F18=5,H18=5),$H$29,IF(AND(#REF!&gt;0,[14]EvaluaciónRiesgoCorrup!$F$11&gt;75,F18=5,H18=10),$H$29,IF(AND(#REF!&gt;0,[14]EvaluaciónRiesgoCorrup!$F$11&gt;75,F18=5,H18=20),$H$29," ")))</f>
        <v>#REF!</v>
      </c>
      <c r="BG18" s="28" t="e">
        <f>IF(AND(#REF!&gt;0,[14]EvaluaciónRiesgoCorrup!$F$11&gt;50,[14]EvaluaciónRiesgoCorrup!$F$11&lt;76,F18=1,H18=5),$H$25,IF(AND(#REF!&gt;0,[14]EvaluaciónRiesgoCorrup!$F$11&gt;50,[14]EvaluaciónRiesgoCorrup!$F$11&lt;76,F18=1,H18=10),$H$25,IF(AND(#REF!&gt;0,[14]EvaluaciónRiesgoCorrup!$F$11&gt;50,[14]EvaluaciónRiesgoCorrup!$F$11&lt;76,F18=1,H18=20),$J$25," ")))</f>
        <v>#REF!</v>
      </c>
      <c r="BH18" s="28" t="e">
        <f>IF(AND(#REF!&gt;0,[14]EvaluaciónRiesgoCorrup!$F$11&gt;50,[14]EvaluaciónRiesgoCorrup!$F$11&lt;76,F18=2,H18=5),$H$26,IF(AND(#REF!&gt;0,[14]EvaluaciónRiesgoCorrup!$F$11&gt;50,[14]EvaluaciónRiesgoCorrup!$F$11&lt;76,F18=2,H18=10),$H$26,IF(AND(#REF!&gt;0,[14]EvaluaciónRiesgoCorrup!$F$11&gt;50,[14]EvaluaciónRiesgoCorrup!$F$11&lt;76,F18=2,H18=20),$J$26," ")))</f>
        <v>#REF!</v>
      </c>
      <c r="BI18" s="28" t="e">
        <f>IF(AND(#REF!&gt;0,[14]EvaluaciónRiesgoCorrup!$F$11&gt;50,[14]EvaluaciónRiesgoCorrup!$F$11&lt;76,F18=3,H18=5),$H$27,IF(AND(#REF!&gt;0,[14]EvaluaciónRiesgoCorrup!$F$11&gt;50,[14]EvaluaciónRiesgoCorrup!$F$11&lt;76,F18=3,H18=10),$H$27,IF(AND(#REF!&gt;0,[14]EvaluaciónRiesgoCorrup!$F$11&gt;50,[14]EvaluaciónRiesgoCorrup!$F$11&lt;76,F18=3,H18=20),$J$27," ")))</f>
        <v>#REF!</v>
      </c>
      <c r="BJ18" s="28" t="e">
        <f>IF(AND(#REF!&gt;0,[14]EvaluaciónRiesgoCorrup!$F$11&gt;50,[14]EvaluaciónRiesgoCorrup!$F$11&lt;76,F18=4,H18=5),$H$28,IF(AND(#REF!&gt;0,[14]EvaluaciónRiesgoCorrup!$F$11&gt;50,[14]EvaluaciónRiesgoCorrup!$F$11&lt;76,F18=4,H18=10),$H$28,IF(AND(#REF!&gt;0,[14]EvaluaciónRiesgoCorrup!$F$11&gt;50,[14]EvaluaciónRiesgoCorrup!$F$11&lt;76,F18=4,H18=20),$J$28," ")))</f>
        <v>#REF!</v>
      </c>
      <c r="BK18" s="28" t="e">
        <f>IF(AND(#REF!&gt;0,[14]EvaluaciónRiesgoCorrup!$F$11&gt;50,[14]EvaluaciónRiesgoCorrup!$F$11&lt;76,F18=5,H18=5),$H$29,IF(AND(#REF!&gt;0,[14]EvaluaciónRiesgoCorrup!$F$11&gt;50,[14]EvaluaciónRiesgoCorrup!$F$11&lt;76,F18=5,H18=10),$H$29,IF(AND(#REF!&gt;0,[14]EvaluaciónRiesgoCorrup!$F$11&gt;50,[14]EvaluaciónRiesgoCorrup!$F$11&lt;76,F18=5,H18=20),$J$29," ")))</f>
        <v>#REF!</v>
      </c>
      <c r="BN18" s="28" t="e">
        <f>IF(AND(#REF!&gt;0,[14]EvaluaciónRiesgoCorrup!$F$11&lt;51,F18=1,H18=5),$H$25,IF(AND(#REF!&gt;0,[14]EvaluaciónRiesgoCorrup!$F$11&lt;51,F18=1,H18=10),$J$25,IF(AND(#REF!&gt;0,[14]EvaluaciónRiesgoCorrup!$F$11&lt;51,F18=1,H18=20),$K$25," ")))</f>
        <v>#REF!</v>
      </c>
      <c r="BO18" s="28" t="e">
        <f>IF(AND(#REF!&gt;0,[14]EvaluaciónRiesgoCorrup!$F$11&lt;51,F18=2,H18=5),$H$26,IF(AND(#REF!&gt;0,[14]EvaluaciónRiesgoCorrup!$F$11&lt;51,F18=2,H18=10),$J$26,IF(AND(#REF!&gt;0,[14]EvaluaciónRiesgoCorrup!$F$11&lt;51,F18=2,H18=20),$K$26," ")))</f>
        <v>#REF!</v>
      </c>
      <c r="BP18" s="28" t="e">
        <f>IF(AND(#REF!&gt;0,[14]EvaluaciónRiesgoCorrup!$F$11&lt;51,F18=3,H18=5),$H$27,IF(AND(#REF!&gt;0,[14]EvaluaciónRiesgoCorrup!$F$11&lt;51,F18=3,H18=10),$J$27,IF(AND(#REF!&gt;0,[14]EvaluaciónRiesgoCorrup!$F$11&lt;51,F18=3,H18=20),$K$27," ")))</f>
        <v>#REF!</v>
      </c>
      <c r="BQ18" s="28" t="e">
        <f>IF(AND(#REF!&gt;0,[14]EvaluaciónRiesgoCorrup!$F$11&lt;51,F18=4,H18=5),$H$28,IF(AND(#REF!&gt;0,[14]EvaluaciónRiesgoCorrup!$F$11&lt;51,F18=4,H18=10),$J$28,IF(AND(#REF!&gt;0,[14]EvaluaciónRiesgoCorrup!$F$11&lt;51,F18=4,H18=20),$K$28," ")))</f>
        <v>#REF!</v>
      </c>
      <c r="BR18" s="28" t="e">
        <f>IF(AND(#REF!&gt;0,[14]EvaluaciónRiesgoCorrup!$F$11&lt;51,F18=5,H18=5),$H$29,IF(AND(#REF!&gt;0,[14]EvaluaciónRiesgoCorrup!$F$11&lt;51,F18=5,H18=10),$J$29,IF(AND(#REF!&gt;0,[14]EvaluaciónRiesgoCorrup!$F$11&lt;51,F18=5,H18=20),$K$29," ")))</f>
        <v>#REF!</v>
      </c>
    </row>
    <row r="19" spans="1:70" ht="153.75" customHeight="1" thickBot="1" x14ac:dyDescent="0.4">
      <c r="A19" s="274" t="s">
        <v>191</v>
      </c>
      <c r="B19" s="275" t="s">
        <v>192</v>
      </c>
      <c r="C19" s="276" t="s">
        <v>193</v>
      </c>
      <c r="D19" s="273" t="s">
        <v>194</v>
      </c>
      <c r="E19" s="205" t="s">
        <v>106</v>
      </c>
      <c r="F19" s="241">
        <v>2</v>
      </c>
      <c r="G19" s="241" t="s">
        <v>152</v>
      </c>
      <c r="H19" s="280">
        <v>1</v>
      </c>
      <c r="I19" s="280" t="s">
        <v>195</v>
      </c>
      <c r="J19" s="100" t="s">
        <v>48</v>
      </c>
      <c r="K19" s="281" t="s">
        <v>196</v>
      </c>
      <c r="L19" s="1085" t="s">
        <v>26</v>
      </c>
      <c r="M19" s="1086"/>
      <c r="N19" s="100" t="s">
        <v>48</v>
      </c>
      <c r="O19" s="101" t="s">
        <v>128</v>
      </c>
      <c r="P19" s="855" t="s">
        <v>83</v>
      </c>
      <c r="Q19" s="1015" t="s">
        <v>622</v>
      </c>
      <c r="R19" s="860" t="s">
        <v>623</v>
      </c>
      <c r="S19" s="857">
        <v>42947</v>
      </c>
      <c r="T19" s="281" t="s">
        <v>197</v>
      </c>
      <c r="U19" s="282" t="s">
        <v>182</v>
      </c>
      <c r="V19" s="291" t="s">
        <v>198</v>
      </c>
      <c r="X19" s="28" t="str">
        <f>IF(AND(F19=1,H19=5),$H$25,IF(AND(F19=1,H19=10),$J$25,IF(AND(F19=1,H19=20),$K$25," ")))</f>
        <v xml:space="preserve"> </v>
      </c>
      <c r="Y19" s="28" t="str">
        <f>IF(AND(F19=2,H19=5),$H$26,IF(AND(F19=2,H19=10),$J$26,IF(AND(F19=2,H19=20),$K$26," ")))</f>
        <v xml:space="preserve"> </v>
      </c>
      <c r="Z19" s="28" t="str">
        <f>IF(AND(F19=3,H19=5),$H$27,IF(AND(F19=3,H19=10),$J$27,IF(AND(F19=3,H19=20),$K$27," ")))</f>
        <v xml:space="preserve"> </v>
      </c>
      <c r="AA19" s="28" t="str">
        <f>IF(AND(F19=4,H19=5),$H$28,IF(AND(F19=4,H19=10),$J$28,IF(AND(F19=4,H19=20),$K$28," ")))</f>
        <v xml:space="preserve"> </v>
      </c>
      <c r="AB19" s="28" t="str">
        <f>IF(AND(F19=5,H19=5),$H$29,IF(AND(F19=5,H19=10),$J$29,IF(AND(F19=5,H19=20),$K$29," ")))</f>
        <v xml:space="preserve"> </v>
      </c>
      <c r="AE19" s="28" t="str">
        <f>IF(AND(M19&gt;0,[14]EvaluaciónRiesgoCorrup!$F$11&gt;75,F19=1,H19=5),$H$25,IF(AND(M19&gt;0,[14]EvaluaciónRiesgoCorrup!$F$11&gt;75,F19=1,H19=10),$J$25,IF(AND(M19&gt;0,[14]EvaluaciónRiesgoCorrup!$F$11&gt;75,F19=1,H19=20),$K$25," ")))</f>
        <v xml:space="preserve"> </v>
      </c>
      <c r="AF19" s="28" t="str">
        <f>IF(AND(M19&gt;0,[14]EvaluaciónRiesgoCorrup!$F$11&gt;75,F19=2,H19=5),$H$25,IF(AND(M19&gt;0,[14]EvaluaciónRiesgoCorrup!$F$11&gt;75,F19=2,H19=10),$J$25,IF(AND(M19&gt;0,[14]EvaluaciónRiesgoCorrup!$F$11&gt;75,F19=2,H19=20),$K$25," ")))</f>
        <v xml:space="preserve"> </v>
      </c>
      <c r="AG19" s="28" t="str">
        <f>IF(AND(M19&gt;0,[14]EvaluaciónRiesgoCorrup!$F$11&gt;75,F19=3,H19=5),$H$25,IF(AND(M19&gt;0,[14]EvaluaciónRiesgoCorrup!$F$11&gt;75,F19=3,H19=10),$J$25,IF(AND(M19&gt;0,[14]EvaluaciónRiesgoCorrup!$F$11&gt;75,F19=3,H19=20),$K$25," ")))</f>
        <v xml:space="preserve"> </v>
      </c>
      <c r="AH19" s="28" t="str">
        <f>IF(AND(M19&gt;0,[14]EvaluaciónRiesgoCorrup!$F$11&gt;75,F19=4,H19=5),$H$26,IF(AND(M19&gt;0,[14]EvaluaciónRiesgoCorrup!$F$11&gt;75,F19=4,H19=10),$J$26,IF(AND(M19&gt;0,[14]EvaluaciónRiesgoCorrup!$F$11&gt;75,F19=4,H19=20),$K$26," ")))</f>
        <v xml:space="preserve"> </v>
      </c>
      <c r="AI19" s="28" t="str">
        <f>IF(AND(M19&gt;0,[14]EvaluaciónRiesgoCorrup!$F$11&gt;75,F19=5,H19=5),$H$27,IF(AND(M19&gt;0,[14]EvaluaciónRiesgoCorrup!$F$11&gt;75,F19=5,H19=10),$J$27,IF(AND(M19&gt;0,[14]EvaluaciónRiesgoCorrup!$F$11&gt;75,F19=5,H19=20),$K$27," ")))</f>
        <v xml:space="preserve"> </v>
      </c>
      <c r="AK19" s="28" t="str">
        <f>IF(AND(M19&gt;0,[14]EvaluaciónRiesgoCorrup!$F$11&gt;50,[14]EvaluaciónRiesgoCorrup!$F$11&lt;76,F19=1,H19=5),$H$25,IF(AND(M19&gt;0,[14]EvaluaciónRiesgoCorrup!$F$11&gt;50,[14]EvaluaciónRiesgoCorrup!$F$11&lt;76,F19=1,H19=10),$J$25,IF(AND(M19&gt;0,[14]EvaluaciónRiesgoCorrup!$F$11&gt;50,[14]EvaluaciónRiesgoCorrup!$F$11&lt;76,F19=1,H19=20),$K$25," ")))</f>
        <v xml:space="preserve"> </v>
      </c>
      <c r="AL19" s="28" t="str">
        <f>IF(AND(M19&gt;0,[14]EvaluaciónRiesgoCorrup!$F$11&gt;50,[14]EvaluaciónRiesgoCorrup!$F$11&lt;76,F19=2,H19=5),$H$25,IF(AND(M19&gt;0,[14]EvaluaciónRiesgoCorrup!$F$11&gt;50,[14]EvaluaciónRiesgoCorrup!$F$11&lt;76,F19=2,H19=10),$J$25,IF(AND(M19&gt;0,[14]EvaluaciónRiesgoCorrup!$F$11&gt;50,[14]EvaluaciónRiesgoCorrup!$F$11&lt;76,F19=2,H19=20),$K$25," ")))</f>
        <v xml:space="preserve"> </v>
      </c>
      <c r="AM19" s="28" t="str">
        <f>IF(AND(M19&gt;0,[14]EvaluaciónRiesgoCorrup!$F$11&gt;50,[14]EvaluaciónRiesgoCorrup!$F$11&lt;76,F19=3,H19=5),$H$26,IF(AND(M19&gt;0,[14]EvaluaciónRiesgoCorrup!$F$11&gt;50,[14]EvaluaciónRiesgoCorrup!$F$11&lt;76,F19=3,H19=10),$J$26,IF(AND(M19&gt;0,[14]EvaluaciónRiesgoCorrup!$F$11&gt;50,[14]EvaluaciónRiesgoCorrup!$F$11&lt;76,F19=3,H19=20),$K$26," ")))</f>
        <v xml:space="preserve"> </v>
      </c>
      <c r="AN19" s="28" t="str">
        <f>IF(AND(M19&gt;0,[14]EvaluaciónRiesgoCorrup!$F$11&gt;50,[14]EvaluaciónRiesgoCorrup!$F$11&lt;76,F19=4,H19=5),$H$27,IF(AND(M19&gt;0,[14]EvaluaciónRiesgoCorrup!$F$11&gt;50,[14]EvaluaciónRiesgoCorrup!$F$11&lt;76,F19=4,H19=10),$J$27,IF(AND(M19&gt;0,[14]EvaluaciónRiesgoCorrup!$F$11&gt;50,[14]EvaluaciónRiesgoCorrup!$F$11&lt;76,F19=4,H19=20),$K$27," ")))</f>
        <v xml:space="preserve"> </v>
      </c>
      <c r="AO19" s="28" t="str">
        <f>IF(AND(M19&gt;0,[14]EvaluaciónRiesgoCorrup!$F$11&gt;50,[14]EvaluaciónRiesgoCorrup!$F$11&lt;76,F19=5,H19=5),$H$28,IF(AND(M19&gt;0,[14]EvaluaciónRiesgoCorrup!$F$11&gt;50,[14]EvaluaciónRiesgoCorrup!$F$11&lt;76,F19=5,H19=10),$J$28,IF(AND(M19&gt;0,[14]EvaluaciónRiesgoCorrup!$F$11&gt;50,[14]EvaluaciónRiesgoCorrup!$F$11&lt;76,F19=5,H19=20),$K$28," ")))</f>
        <v xml:space="preserve"> </v>
      </c>
      <c r="AR19" s="28" t="str">
        <f>IF(AND(M19&gt;0,[14]EvaluaciónRiesgoCorrup!$F$11&lt;51,F19=1,H19=5),$H$25,IF(AND(M19&gt;0,[14]EvaluaciónRiesgoCorrup!$F$11&lt;51,F19=1,H19=10),$J$25,IF(AND(M19&gt;0,[14]EvaluaciónRiesgoCorrup!$F$11&lt;51,F19=1,H19=20),K$25," ")))</f>
        <v xml:space="preserve"> </v>
      </c>
      <c r="AS19" s="28" t="str">
        <f>IF(AND(M19&gt;0,[14]EvaluaciónRiesgoCorrup!$F$11&lt;51,F19=2,H19=5),$H$26,IF(AND(M19&gt;0,[14]EvaluaciónRiesgoCorrup!$F$11&lt;51,F19=2,H19=10),$J$26,IF(AND(M19&gt;0,[14]EvaluaciónRiesgoCorrup!$F$11&lt;51,F19=2,H19=20),K$26," ")))</f>
        <v xml:space="preserve"> </v>
      </c>
      <c r="AT19" s="28" t="str">
        <f>IF(AND(M19&gt;0,[14]EvaluaciónRiesgoCorrup!$F$11&lt;51,F19=3,H19=5),$H$27,IF(AND(M19&gt;0,[14]EvaluaciónRiesgoCorrup!$F$11&lt;51,F19=3,H19=10),$J$27,IF(AND(M19&gt;0,[14]EvaluaciónRiesgoCorrup!$F$11&lt;51,F19=3,H19=20),K$27," ")))</f>
        <v xml:space="preserve"> </v>
      </c>
      <c r="AU19" s="28" t="str">
        <f>IF(AND(M19&gt;0,[14]EvaluaciónRiesgoCorrup!$F$11&lt;51,F19=4,H19=5),$H$28,IF(AND(M19&gt;0,[14]EvaluaciónRiesgoCorrup!$F$11&lt;51,F19=4,H19=10),$J$28,IF(AND(M19&gt;0,[14]EvaluaciónRiesgoCorrup!$F$11&lt;51,F19=4,H19=20),K$28," ")))</f>
        <v xml:space="preserve"> </v>
      </c>
      <c r="AV19" s="28" t="str">
        <f>IF(AND(M19&gt;0,[14]EvaluaciónRiesgoCorrup!$F$11&lt;51,F19=5,H19=5),$H$29,IF(AND(M19&gt;0,[14]EvaluaciónRiesgoCorrup!$F$11&lt;51,F19=5,H19=10),$J$29,IF(AND(M19&gt;0,[14]EvaluaciónRiesgoCorrup!$F$11&lt;51,F19=5,H19=20),K$29," ")))</f>
        <v xml:space="preserve"> </v>
      </c>
      <c r="AZ19" s="28" t="e">
        <f>IF(AND(#REF!&gt;0,[14]EvaluaciónRiesgoCorrup!$F$11&gt;75,F19=1,H19=5),$H$25,IF(AND(#REF!&gt;0,[14]EvaluaciónRiesgoCorrup!$F$11&gt;75,F19=1,H19=10),$H$25,IF(AND(#REF!&gt;0,[14]EvaluaciónRiesgoCorrup!$F$11&gt;75,F19=1,H19=20),$H$25," ")))</f>
        <v>#REF!</v>
      </c>
      <c r="BA19" s="28" t="e">
        <f>IF(AND(#REF!&gt;0,[14]EvaluaciónRiesgoCorrup!$F$11&gt;75,F19=2,H19=5),$H$26,IF(AND(#REF!&gt;0,[14]EvaluaciónRiesgoCorrup!$F$11&gt;75,F19=2,H19=10),$H$26,IF(AND(#REF!&gt;0,[14]EvaluaciónRiesgoCorrup!$F$11&gt;75,F19=2,H19=20),$H$26," ")))</f>
        <v>#REF!</v>
      </c>
      <c r="BB19" s="28" t="e">
        <f>IF(AND(#REF!&gt;0,[14]EvaluaciónRiesgoCorrup!$F$11&gt;75,F19=3,H19=5),$H$27,IF(AND(#REF!&gt;0,[14]EvaluaciónRiesgoCorrup!$F$11&gt;75,F19=3,H19=10),$H$27,IF(AND(#REF!&gt;0,[14]EvaluaciónRiesgoCorrup!$F$11&gt;75,F19=3,H19=20),$H$27," ")))</f>
        <v>#REF!</v>
      </c>
      <c r="BC19" s="28" t="e">
        <f>IF(AND(#REF!&gt;0,[14]EvaluaciónRiesgoCorrup!$F$11&gt;75,F19=4,H19=5),$H$28,IF(AND(#REF!&gt;0,[14]EvaluaciónRiesgoCorrup!$F$11&gt;75,F19=4,H19=10),$H$28,IF(AND(#REF!&gt;0,[14]EvaluaciónRiesgoCorrup!$F$11&gt;75,F19=4,H19=20),$H$28," ")))</f>
        <v>#REF!</v>
      </c>
      <c r="BD19" s="28" t="e">
        <f>IF(AND(#REF!&gt;0,[14]EvaluaciónRiesgoCorrup!$F$11&gt;75,F19=5,H19=5),$H$29,IF(AND(#REF!&gt;0,[14]EvaluaciónRiesgoCorrup!$F$11&gt;75,F19=5,H19=10),$H$29,IF(AND(#REF!&gt;0,[14]EvaluaciónRiesgoCorrup!$F$11&gt;75,F19=5,H19=20),$H$29," ")))</f>
        <v>#REF!</v>
      </c>
      <c r="BG19" s="28" t="e">
        <f>IF(AND(#REF!&gt;0,[14]EvaluaciónRiesgoCorrup!$F$11&gt;50,[14]EvaluaciónRiesgoCorrup!$F$11&lt;76,F19=1,H19=5),$H$25,IF(AND(#REF!&gt;0,[14]EvaluaciónRiesgoCorrup!$F$11&gt;50,[14]EvaluaciónRiesgoCorrup!$F$11&lt;76,F19=1,H19=10),$H$25,IF(AND(#REF!&gt;0,[14]EvaluaciónRiesgoCorrup!$F$11&gt;50,[14]EvaluaciónRiesgoCorrup!$F$11&lt;76,F19=1,H19=20),$J$25," ")))</f>
        <v>#REF!</v>
      </c>
      <c r="BH19" s="28" t="e">
        <f>IF(AND(#REF!&gt;0,[14]EvaluaciónRiesgoCorrup!$F$11&gt;50,[14]EvaluaciónRiesgoCorrup!$F$11&lt;76,F19=2,H19=5),$H$26,IF(AND(#REF!&gt;0,[14]EvaluaciónRiesgoCorrup!$F$11&gt;50,[14]EvaluaciónRiesgoCorrup!$F$11&lt;76,F19=2,H19=10),$H$26,IF(AND(#REF!&gt;0,[14]EvaluaciónRiesgoCorrup!$F$11&gt;50,[14]EvaluaciónRiesgoCorrup!$F$11&lt;76,F19=2,H19=20),$J$26," ")))</f>
        <v>#REF!</v>
      </c>
      <c r="BI19" s="28" t="e">
        <f>IF(AND(#REF!&gt;0,[14]EvaluaciónRiesgoCorrup!$F$11&gt;50,[14]EvaluaciónRiesgoCorrup!$F$11&lt;76,F19=3,H19=5),$H$27,IF(AND(#REF!&gt;0,[14]EvaluaciónRiesgoCorrup!$F$11&gt;50,[14]EvaluaciónRiesgoCorrup!$F$11&lt;76,F19=3,H19=10),$H$27,IF(AND(#REF!&gt;0,[14]EvaluaciónRiesgoCorrup!$F$11&gt;50,[14]EvaluaciónRiesgoCorrup!$F$11&lt;76,F19=3,H19=20),$J$27," ")))</f>
        <v>#REF!</v>
      </c>
      <c r="BJ19" s="28" t="e">
        <f>IF(AND(#REF!&gt;0,[14]EvaluaciónRiesgoCorrup!$F$11&gt;50,[14]EvaluaciónRiesgoCorrup!$F$11&lt;76,F19=4,H19=5),$H$28,IF(AND(#REF!&gt;0,[14]EvaluaciónRiesgoCorrup!$F$11&gt;50,[14]EvaluaciónRiesgoCorrup!$F$11&lt;76,F19=4,H19=10),$H$28,IF(AND(#REF!&gt;0,[14]EvaluaciónRiesgoCorrup!$F$11&gt;50,[14]EvaluaciónRiesgoCorrup!$F$11&lt;76,F19=4,H19=20),$J$28," ")))</f>
        <v>#REF!</v>
      </c>
      <c r="BK19" s="28" t="e">
        <f>IF(AND(#REF!&gt;0,[14]EvaluaciónRiesgoCorrup!$F$11&gt;50,[14]EvaluaciónRiesgoCorrup!$F$11&lt;76,F19=5,H19=5),$H$29,IF(AND(#REF!&gt;0,[14]EvaluaciónRiesgoCorrup!$F$11&gt;50,[14]EvaluaciónRiesgoCorrup!$F$11&lt;76,F19=5,H19=10),$H$29,IF(AND(#REF!&gt;0,[14]EvaluaciónRiesgoCorrup!$F$11&gt;50,[14]EvaluaciónRiesgoCorrup!$F$11&lt;76,F19=5,H19=20),$J$29," ")))</f>
        <v>#REF!</v>
      </c>
      <c r="BN19" s="28" t="e">
        <f>IF(AND(#REF!&gt;0,[14]EvaluaciónRiesgoCorrup!$F$11&lt;51,F19=1,H19=5),$H$25,IF(AND(#REF!&gt;0,[14]EvaluaciónRiesgoCorrup!$F$11&lt;51,F19=1,H19=10),$J$25,IF(AND(#REF!&gt;0,[14]EvaluaciónRiesgoCorrup!$F$11&lt;51,F19=1,H19=20),$K$25," ")))</f>
        <v>#REF!</v>
      </c>
      <c r="BO19" s="28" t="e">
        <f>IF(AND(#REF!&gt;0,[14]EvaluaciónRiesgoCorrup!$F$11&lt;51,F19=2,H19=5),$H$26,IF(AND(#REF!&gt;0,[14]EvaluaciónRiesgoCorrup!$F$11&lt;51,F19=2,H19=10),$J$26,IF(AND(#REF!&gt;0,[14]EvaluaciónRiesgoCorrup!$F$11&lt;51,F19=2,H19=20),$K$26," ")))</f>
        <v>#REF!</v>
      </c>
      <c r="BP19" s="28" t="e">
        <f>IF(AND(#REF!&gt;0,[14]EvaluaciónRiesgoCorrup!$F$11&lt;51,F19=3,H19=5),$H$27,IF(AND(#REF!&gt;0,[14]EvaluaciónRiesgoCorrup!$F$11&lt;51,F19=3,H19=10),$J$27,IF(AND(#REF!&gt;0,[14]EvaluaciónRiesgoCorrup!$F$11&lt;51,F19=3,H19=20),$K$27," ")))</f>
        <v>#REF!</v>
      </c>
      <c r="BQ19" s="28" t="e">
        <f>IF(AND(#REF!&gt;0,[14]EvaluaciónRiesgoCorrup!$F$11&lt;51,F19=4,H19=5),$H$28,IF(AND(#REF!&gt;0,[14]EvaluaciónRiesgoCorrup!$F$11&lt;51,F19=4,H19=10),$J$28,IF(AND(#REF!&gt;0,[14]EvaluaciónRiesgoCorrup!$F$11&lt;51,F19=4,H19=20),$K$28," ")))</f>
        <v>#REF!</v>
      </c>
      <c r="BR19" s="28" t="e">
        <f>IF(AND(#REF!&gt;0,[14]EvaluaciónRiesgoCorrup!$F$11&lt;51,F19=5,H19=5),$H$29,IF(AND(#REF!&gt;0,[14]EvaluaciónRiesgoCorrup!$F$11&lt;51,F19=5,H19=10),$J$29,IF(AND(#REF!&gt;0,[14]EvaluaciónRiesgoCorrup!$F$11&lt;51,F19=5,H19=20),$K$29," ")))</f>
        <v>#REF!</v>
      </c>
    </row>
    <row r="20" spans="1:70" ht="174.75" customHeight="1" x14ac:dyDescent="0.35">
      <c r="A20" s="277" t="s">
        <v>199</v>
      </c>
      <c r="B20" s="278" t="s">
        <v>200</v>
      </c>
      <c r="C20" s="279" t="s">
        <v>201</v>
      </c>
      <c r="D20" s="283" t="s">
        <v>202</v>
      </c>
      <c r="E20" s="284" t="s">
        <v>119</v>
      </c>
      <c r="F20" s="285">
        <v>2</v>
      </c>
      <c r="G20" s="286" t="s">
        <v>152</v>
      </c>
      <c r="H20" s="287">
        <v>20</v>
      </c>
      <c r="I20" s="288" t="s">
        <v>122</v>
      </c>
      <c r="J20" s="289" t="s">
        <v>51</v>
      </c>
      <c r="K20" s="290" t="s">
        <v>203</v>
      </c>
      <c r="L20" s="1065" t="s">
        <v>26</v>
      </c>
      <c r="M20" s="1066"/>
      <c r="N20" s="292" t="s">
        <v>49</v>
      </c>
      <c r="O20" s="293" t="s">
        <v>128</v>
      </c>
      <c r="P20" s="855" t="s">
        <v>83</v>
      </c>
      <c r="Q20" s="703" t="s">
        <v>624</v>
      </c>
      <c r="R20" s="855" t="s">
        <v>625</v>
      </c>
      <c r="S20" s="857">
        <v>42947</v>
      </c>
      <c r="T20" s="294" t="s">
        <v>204</v>
      </c>
      <c r="U20" s="295" t="s">
        <v>182</v>
      </c>
      <c r="V20" s="296" t="s">
        <v>205</v>
      </c>
    </row>
    <row r="21" spans="1:70" x14ac:dyDescent="0.35">
      <c r="A21" s="28"/>
      <c r="B21" s="30"/>
      <c r="C21" s="30"/>
      <c r="D21" s="105"/>
      <c r="E21" s="33"/>
    </row>
    <row r="22" spans="1:70" ht="14.5" thickBot="1" x14ac:dyDescent="0.4">
      <c r="A22" s="28"/>
      <c r="B22" s="30"/>
      <c r="C22" s="30"/>
      <c r="D22" s="30"/>
      <c r="E22" s="33"/>
      <c r="H22" s="32"/>
      <c r="I22" s="32"/>
      <c r="J22" s="32"/>
    </row>
    <row r="23" spans="1:70" ht="14.5" thickBot="1" x14ac:dyDescent="0.4">
      <c r="A23" s="6"/>
      <c r="B23" s="33"/>
      <c r="C23" s="33"/>
      <c r="D23" s="33"/>
      <c r="E23" s="33"/>
      <c r="F23" s="1019" t="s">
        <v>26</v>
      </c>
      <c r="G23" s="84"/>
      <c r="H23" s="1021" t="s">
        <v>10</v>
      </c>
      <c r="I23" s="1021"/>
      <c r="J23" s="1021"/>
      <c r="K23" s="1022"/>
      <c r="L23" s="106"/>
      <c r="M23" s="2"/>
      <c r="Q23" s="5"/>
      <c r="S23" s="2"/>
    </row>
    <row r="24" spans="1:70" ht="32.25" customHeight="1" thickBot="1" x14ac:dyDescent="0.4">
      <c r="A24" s="5"/>
      <c r="B24" s="34" t="s">
        <v>42</v>
      </c>
      <c r="C24" s="34"/>
      <c r="D24" s="34"/>
      <c r="E24" s="34"/>
      <c r="F24" s="1020"/>
      <c r="G24" s="184"/>
      <c r="H24" s="35" t="s">
        <v>43</v>
      </c>
      <c r="I24" s="35"/>
      <c r="J24" s="36" t="s">
        <v>44</v>
      </c>
      <c r="K24" s="35" t="s">
        <v>45</v>
      </c>
      <c r="L24" s="109"/>
      <c r="M24" s="2"/>
      <c r="Q24" s="5"/>
      <c r="S24" s="2"/>
    </row>
    <row r="25" spans="1:70" ht="14.5" thickBot="1" x14ac:dyDescent="0.4">
      <c r="B25" s="5" t="s">
        <v>46</v>
      </c>
      <c r="C25" s="5"/>
      <c r="F25" s="37" t="s">
        <v>47</v>
      </c>
      <c r="G25" s="37"/>
      <c r="H25" s="38" t="s">
        <v>48</v>
      </c>
      <c r="I25" s="38"/>
      <c r="J25" s="38" t="s">
        <v>48</v>
      </c>
      <c r="K25" s="39" t="s">
        <v>49</v>
      </c>
      <c r="L25" s="110"/>
      <c r="M25" s="2"/>
      <c r="Q25" s="5"/>
      <c r="S25" s="2"/>
    </row>
    <row r="26" spans="1:70" ht="14.5" thickBot="1" x14ac:dyDescent="0.4">
      <c r="F26" s="37" t="s">
        <v>50</v>
      </c>
      <c r="G26" s="37"/>
      <c r="H26" s="38" t="s">
        <v>48</v>
      </c>
      <c r="I26" s="38"/>
      <c r="J26" s="39" t="s">
        <v>49</v>
      </c>
      <c r="K26" s="40" t="s">
        <v>51</v>
      </c>
      <c r="L26" s="111"/>
      <c r="M26" s="2"/>
      <c r="Q26" s="5"/>
      <c r="S26" s="2"/>
    </row>
    <row r="27" spans="1:70" ht="14.5" thickBot="1" x14ac:dyDescent="0.4">
      <c r="F27" s="37" t="s">
        <v>52</v>
      </c>
      <c r="G27" s="37"/>
      <c r="H27" s="39" t="s">
        <v>49</v>
      </c>
      <c r="I27" s="39"/>
      <c r="J27" s="40" t="s">
        <v>51</v>
      </c>
      <c r="K27" s="41" t="s">
        <v>53</v>
      </c>
      <c r="L27" s="112"/>
      <c r="M27" s="2"/>
      <c r="Q27" s="5"/>
      <c r="S27" s="2"/>
    </row>
    <row r="28" spans="1:70" ht="14.5" thickBot="1" x14ac:dyDescent="0.4">
      <c r="F28" s="37" t="s">
        <v>54</v>
      </c>
      <c r="G28" s="37"/>
      <c r="H28" s="39" t="s">
        <v>49</v>
      </c>
      <c r="I28" s="39"/>
      <c r="J28" s="40" t="s">
        <v>51</v>
      </c>
      <c r="K28" s="41" t="s">
        <v>53</v>
      </c>
      <c r="L28" s="112"/>
      <c r="M28" s="2"/>
      <c r="Q28" s="5"/>
      <c r="S28" s="2"/>
    </row>
    <row r="29" spans="1:70" ht="14.5" thickBot="1" x14ac:dyDescent="0.4">
      <c r="F29" s="37" t="s">
        <v>55</v>
      </c>
      <c r="G29" s="37"/>
      <c r="H29" s="39" t="s">
        <v>49</v>
      </c>
      <c r="I29" s="39"/>
      <c r="J29" s="40" t="s">
        <v>51</v>
      </c>
      <c r="K29" s="41" t="s">
        <v>53</v>
      </c>
      <c r="L29" s="112"/>
      <c r="M29" s="2"/>
      <c r="Q29" s="5"/>
      <c r="S29" s="2"/>
    </row>
    <row r="30" spans="1:70" x14ac:dyDescent="0.35">
      <c r="F30" s="2"/>
      <c r="G30" s="2"/>
      <c r="H30" s="2"/>
      <c r="I30" s="2"/>
      <c r="J30" s="2"/>
      <c r="K30" s="5"/>
      <c r="L30" s="5"/>
    </row>
    <row r="31" spans="1:70" x14ac:dyDescent="0.35">
      <c r="F31" s="42" t="s">
        <v>56</v>
      </c>
      <c r="G31" s="42"/>
      <c r="H31" s="2"/>
      <c r="I31" s="2"/>
      <c r="J31" s="2"/>
      <c r="K31" s="5"/>
      <c r="L31" s="5"/>
      <c r="N31" s="5"/>
      <c r="O31" s="5"/>
      <c r="P31" s="5"/>
    </row>
    <row r="32" spans="1:70" x14ac:dyDescent="0.35">
      <c r="F32" s="43" t="s">
        <v>57</v>
      </c>
      <c r="G32" s="43"/>
      <c r="H32" s="2"/>
      <c r="I32" s="2"/>
      <c r="J32" s="2"/>
      <c r="K32" s="5"/>
      <c r="L32" s="5"/>
      <c r="N32" s="5"/>
      <c r="O32" s="5"/>
      <c r="P32" s="5"/>
    </row>
    <row r="33" spans="6:16" x14ac:dyDescent="0.35">
      <c r="F33" s="44" t="s">
        <v>58</v>
      </c>
      <c r="G33" s="44"/>
      <c r="H33" s="2"/>
      <c r="I33" s="2"/>
      <c r="J33" s="2"/>
      <c r="K33" s="5"/>
      <c r="L33" s="5"/>
      <c r="N33" s="5"/>
      <c r="O33" s="5"/>
      <c r="P33" s="5"/>
    </row>
    <row r="34" spans="6:16" x14ac:dyDescent="0.35">
      <c r="F34" s="45" t="s">
        <v>59</v>
      </c>
      <c r="G34" s="45"/>
      <c r="H34" s="2"/>
      <c r="I34" s="2"/>
      <c r="J34" s="2"/>
      <c r="K34" s="5"/>
      <c r="L34" s="5"/>
      <c r="N34" s="5"/>
      <c r="O34" s="5"/>
      <c r="P34" s="5"/>
    </row>
  </sheetData>
  <mergeCells count="38">
    <mergeCell ref="T15:T16"/>
    <mergeCell ref="U15:U16"/>
    <mergeCell ref="V15:V16"/>
    <mergeCell ref="F23:F24"/>
    <mergeCell ref="H23:K23"/>
    <mergeCell ref="P15:R15"/>
    <mergeCell ref="L17:M17"/>
    <mergeCell ref="L18:M18"/>
    <mergeCell ref="L19:M19"/>
    <mergeCell ref="L20:M20"/>
    <mergeCell ref="A12:D12"/>
    <mergeCell ref="F12:V12"/>
    <mergeCell ref="AG13:AY13"/>
    <mergeCell ref="BA13:BT13"/>
    <mergeCell ref="A14:D14"/>
    <mergeCell ref="F14:H14"/>
    <mergeCell ref="K14:K16"/>
    <mergeCell ref="M14:N14"/>
    <mergeCell ref="P14:R14"/>
    <mergeCell ref="S14:V14"/>
    <mergeCell ref="A15:A16"/>
    <mergeCell ref="B15:B16"/>
    <mergeCell ref="D15:D16"/>
    <mergeCell ref="F15:H15"/>
    <mergeCell ref="M15:N15"/>
    <mergeCell ref="S15:S16"/>
    <mergeCell ref="A6:D6"/>
    <mergeCell ref="F6:V6"/>
    <mergeCell ref="A8:D8"/>
    <mergeCell ref="F8:V8"/>
    <mergeCell ref="A10:D10"/>
    <mergeCell ref="F10:V10"/>
    <mergeCell ref="A1:D4"/>
    <mergeCell ref="F1:T4"/>
    <mergeCell ref="U1:V1"/>
    <mergeCell ref="U2:V2"/>
    <mergeCell ref="U3:V3"/>
    <mergeCell ref="U4:V4"/>
  </mergeCells>
  <conditionalFormatting sqref="J17:J19 N17:O19">
    <cfRule type="containsText" dxfId="119" priority="1" operator="containsText" text="E">
      <formula>NOT(ISERROR(SEARCH("E",J17)))</formula>
    </cfRule>
    <cfRule type="containsText" dxfId="118" priority="2" operator="containsText" text="M">
      <formula>NOT(ISERROR(SEARCH("M",J17)))</formula>
    </cfRule>
    <cfRule type="containsText" dxfId="117" priority="3" operator="containsText" text="A">
      <formula>NOT(ISERROR(SEARCH("A",J17)))</formula>
    </cfRule>
    <cfRule type="containsText" dxfId="116" priority="4" operator="containsText" text="B">
      <formula>NOT(ISERROR(SEARCH("B",J17)))</formula>
    </cfRule>
  </conditionalFormatting>
  <dataValidations count="1">
    <dataValidation type="list" allowBlank="1" showInputMessage="1" showErrorMessage="1" sqref="M20:O20">
      <formula1>#REF!</formula1>
    </dataValidation>
  </dataValidations>
  <pageMargins left="0.7" right="0.7" top="0.75" bottom="0.75" header="0.3" footer="0.3"/>
  <pageSetup scale="1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MapaRiesgos Gest Comunicaci</vt:lpstr>
      <vt:lpstr>MapaRiesgos Gest Planeación</vt:lpstr>
      <vt:lpstr>MapaRiesgos Gener datos e inf </vt:lpstr>
      <vt:lpstr>MapaRiesgos Gen Conoci e Inv </vt:lpstr>
      <vt:lpstr>Mapa Riesgos Pronosticos</vt:lpstr>
      <vt:lpstr>Mapa Riesgos Acreditac. de labo</vt:lpstr>
      <vt:lpstr>MapaRiesgos Atención ciudadano</vt:lpstr>
      <vt:lpstr>MapaRiesgos Gest Documental</vt:lpstr>
      <vt:lpstr>MapaRiesgos Gest Juríd Contract</vt:lpstr>
      <vt:lpstr>MapaRiesgos Gest Finan-Contab</vt:lpstr>
      <vt:lpstr>MapaRiesgos Gest Finan-Presupue</vt:lpstr>
      <vt:lpstr>MapaRiesgos Gest Finan-Tesorerí</vt:lpstr>
      <vt:lpstr>MapaRiesgos Gest Informática</vt:lpstr>
      <vt:lpstr>MapaRiesgos Gest Recursos Físic</vt:lpstr>
      <vt:lpstr>MapaRiesgos Gest Des Talento H</vt:lpstr>
      <vt:lpstr>MapaRiesgo Gest SGI</vt:lpstr>
      <vt:lpstr>MapaRiesgo Gest Cont Discip Int</vt:lpstr>
      <vt:lpstr>MapaRiesgos Gest Mejoram Contin</vt:lpstr>
      <vt:lpstr>Hoja2</vt:lpstr>
      <vt:lpstr>Hoja1</vt:lpstr>
      <vt:lpstr>Hoja3</vt:lpstr>
      <vt:lpstr>'MapaRiesgos Gest Documental'!Área_de_impresión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Sirley Johana Corredor Monsalve</dc:creator>
  <cp:lastModifiedBy>Planeacion Ideam</cp:lastModifiedBy>
  <cp:lastPrinted>2016-07-07T20:32:58Z</cp:lastPrinted>
  <dcterms:created xsi:type="dcterms:W3CDTF">2016-03-29T14:13:21Z</dcterms:created>
  <dcterms:modified xsi:type="dcterms:W3CDTF">2017-09-22T16:57:17Z</dcterms:modified>
</cp:coreProperties>
</file>