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5" windowWidth="19170" windowHeight="5520" activeTab="1"/>
  </bookViews>
  <sheets>
    <sheet name="SEPT" sheetId="1" r:id="rId1"/>
    <sheet name="DICI" sheetId="2" r:id="rId2"/>
  </sheets>
  <externalReferences>
    <externalReference r:id="rId5"/>
  </externalReferences>
  <definedNames>
    <definedName name="_xlnm.Print_Area" localSheetId="1">'DICI'!$B$1:$I$206</definedName>
    <definedName name="_xlnm.Print_Area" localSheetId="0">'SEPT'!$B$1:$I$221</definedName>
    <definedName name="Tipos_de_proceso_de_seleccion">'[1]3. DETALLE PLAN DE CONTRATACION'!$L$493:$L$502</definedName>
    <definedName name="_xlnm.Print_Titles" localSheetId="1">'DICI'!$14:$15</definedName>
    <definedName name="_xlnm.Print_Titles" localSheetId="0">'SEPT'!$14:$15</definedName>
  </definedNames>
  <calcPr fullCalcOnLoad="1"/>
</workbook>
</file>

<file path=xl/sharedStrings.xml><?xml version="1.0" encoding="utf-8"?>
<sst xmlns="http://schemas.openxmlformats.org/spreadsheetml/2006/main" count="1217" uniqueCount="400">
  <si>
    <t xml:space="preserve">Compra de información para la vigencia red hidrometeorológica </t>
  </si>
  <si>
    <t xml:space="preserve">Compra de imágenes de satélite (ópticas y de radar) </t>
  </si>
  <si>
    <t>Compra de equipos (3 estaciones de trabajo, 2 portátiles y un plotter de alto desempeño)</t>
  </si>
  <si>
    <t>Planta eléctrica</t>
  </si>
  <si>
    <t>Estibador de 3 toneladas</t>
  </si>
  <si>
    <t>Instalación, diseño y suministro de un sistema de oficina abierta   aeropuertos (mesas, escritorios, bibliotecas, sillas..)</t>
  </si>
  <si>
    <t>Puestos de trabajo, mesa para impresora y reuniones, sede central almacén (estantería)</t>
  </si>
  <si>
    <t>Neveras, cafetera, estufa,  grabadoras, hornos, áreas operativas y aeropuerto</t>
  </si>
  <si>
    <t>Sistema Telefonico IP-PBX</t>
  </si>
  <si>
    <t>Radiosondas</t>
  </si>
  <si>
    <t>Adquisición de licencias de software paa procesamiento estadístico de la información del SIUR Manufacturero</t>
  </si>
  <si>
    <t>Realizar diplomado en estadística para fortalecer las competencias funcionales de los servidores públicos del  instituto.</t>
  </si>
  <si>
    <t>Realizar curso de ingles de nivel intermedio y avanzado para fortalecer las competencias funcionales de los servidores públicos del  instituto.</t>
  </si>
  <si>
    <t>Realizar capacitación en Gestión Integral del Riesgo para fortalecer las competencias funcionales de los servidores públicos del  instituto.</t>
  </si>
  <si>
    <t>Realizar capacitación en el sistema operativo LINUX para fortalecer las competencias funcionales de los servidores públicos del  instituto.</t>
  </si>
  <si>
    <t>Realizar capacitación en metodologías para la construcción y evaluación de políticas publicas para fortalecer las competencias funcionales de los servidores públicos del  instituto.</t>
  </si>
  <si>
    <t>Realizar capacitación en la administración de Versiones Mercurial, para fortalecer las competencias funcionales de los servidores públicos del  instituto.</t>
  </si>
  <si>
    <t>Realizar capacitación en la administración y manejo de bases de datos, Progress, SQL, MYSQL y ORACLE para fortalecer las competencias funcionales de los servidores públicos del  instituto.</t>
  </si>
  <si>
    <t>Realizar curso de comunicaciones y redes físicas e inalámbricas, para fortalecer las competencias funcionales de los servidores públicos del  instituto.</t>
  </si>
  <si>
    <t>Realizar capacitación en virtualización de red HAT LINUX, para fortalecer las competencias funcionales de los servidores públicos del  instituto.</t>
  </si>
  <si>
    <t>Asistencia al congreso de derecho disciplinario para fortalecer las competencias funcionales de los servidores públicos del  instituto.</t>
  </si>
  <si>
    <t>Realizar capacitación de actualización tributaria Nacional y Distrital, para fortalecer las competencias funcionales de los servidores públicos del  instituto.</t>
  </si>
  <si>
    <t>Realizar capacitación de actualización en Gestión Presupuestal y Finanzas Públicas, para fortalecer las competencias funcionales de los servidores públicos del  instituto.</t>
  </si>
  <si>
    <t>Otrosí al convenio 027 del 2011, cuyo objeto es constituir un fondo de administración destinados a educación superior para funcionarios del IDEAM</t>
  </si>
  <si>
    <t xml:space="preserve">Realizar eventos de formación y capacitación orientados a fortalecer las competencias de los servidores públicos del instituto. </t>
  </si>
  <si>
    <t>Realizar capacitación de primeros auxilios especializados para fortalecer las competencias funcionales de los servidores públicos del  instituto.</t>
  </si>
  <si>
    <t xml:space="preserve">Realizar curso de especificaciones de requerimientos con casos de uso y estimación de costos de proyectos informáticos  </t>
  </si>
  <si>
    <t>Capacitaciones meteorología aeronáutica</t>
  </si>
  <si>
    <t xml:space="preserve">MANTENIMIENTO EQUIPO DE NAVEGACION Y TRANSPORTE </t>
  </si>
  <si>
    <t>SERVICIO DE ASEO Y MTTO INSUMOS</t>
  </si>
  <si>
    <t>SERVICIO DE SEGURIDAD Y VIGILANCIA</t>
  </si>
  <si>
    <t>CORREO Y MENSAJERÍA</t>
  </si>
  <si>
    <t>SERVICIOS DE TRANSMISION DE INFORMACION</t>
  </si>
  <si>
    <t>OTROS COMUNICACIONES Y TRANSPORTE (*):</t>
  </si>
  <si>
    <t>2-2-530-0900-0005-00-00-14</t>
  </si>
  <si>
    <t>2-2-520-0900-0002-00-00-20</t>
  </si>
  <si>
    <t>Servicio de Aseo y Cafeteria (vigencia futuras)</t>
  </si>
  <si>
    <t>2-1-002-0000-0003-50-02-10</t>
  </si>
  <si>
    <t>2-1-002-0000-0003-50-03-10</t>
  </si>
  <si>
    <t>2-1-002-0000-0004-01-06-10</t>
  </si>
  <si>
    <t>2-1-002-0000-0004-01-10-10</t>
  </si>
  <si>
    <t>2-1-002-0000-0004-01-25-10</t>
  </si>
  <si>
    <t>2-1-002-0000-0004-02-02-10</t>
  </si>
  <si>
    <t>2-1-002-0000-0004-04-02-10</t>
  </si>
  <si>
    <t>2-1-002-0000-0004-04-01-10</t>
  </si>
  <si>
    <t>2-1-002-0000-0004-04-09-10</t>
  </si>
  <si>
    <t>2-1-002-0000-0004-04-12-10</t>
  </si>
  <si>
    <t>2-1-002-0000-0004-04-23-10</t>
  </si>
  <si>
    <t>Global</t>
  </si>
  <si>
    <t>Anual</t>
  </si>
  <si>
    <t>Gasolina Sede Central</t>
  </si>
  <si>
    <t>Otros gastos por impresos y publicaciones documentos técnicos</t>
  </si>
  <si>
    <t>OTROS ARRENDAMIENTOS BIENES INMUEBLES - MANTENIMIENTO Y OPERACIÓN DE LA RED</t>
  </si>
  <si>
    <t>EMBALAJE Y ACARREO</t>
  </si>
  <si>
    <t>VIATICOS Y GASTOS DE VIAJE AL INTERIOR</t>
  </si>
  <si>
    <t>2-3-520-0900-0002-57-00-20</t>
  </si>
  <si>
    <t>GASTOS GENERALES</t>
  </si>
  <si>
    <t>IMPUESTOS Y MULTAS</t>
  </si>
  <si>
    <t>COMPRA DE EQUIPO</t>
  </si>
  <si>
    <t>MATERIALES Y SUMINISTROS</t>
  </si>
  <si>
    <t>MANTENIMIENTO</t>
  </si>
  <si>
    <t>Mensualidad</t>
  </si>
  <si>
    <t>COMUNICACIONES Y TRANSPORTES</t>
  </si>
  <si>
    <t>IMPRESOS Y PUBLICACIONES</t>
  </si>
  <si>
    <t>SEGUROS</t>
  </si>
  <si>
    <t>ARRENDAMIENTOS</t>
  </si>
  <si>
    <t>VIATICOS Y GASTOS DE VIAJE</t>
  </si>
  <si>
    <t>GASTOS DE OPERACIÓN ADUANERA</t>
  </si>
  <si>
    <t>CAPACITACION, BIENESTAR SOCIAL Y ESTIMULOS</t>
  </si>
  <si>
    <t>OTROS GASTOS POR ADQUISICION DE SERVICIOS</t>
  </si>
  <si>
    <t>Unidad</t>
  </si>
  <si>
    <t>ADQUISICION DE BIENES Y SERVICIOS</t>
  </si>
  <si>
    <t>COMBUSTIBLES Y LUBRICANTES</t>
  </si>
  <si>
    <t>TIQUETES AÉREOS AL EXTERIOR</t>
  </si>
  <si>
    <t>Licencias Microsoft Office Estándar, soporte remoto, entorno de desarrollo myeclipse, certificado digital ssl secure site provigencia 1 año (portales, meterología aeronáutica, pronósticas y alertas, licencia toad for oracle base edition, librería highcharts, librería fusioncharts, licencias rhel para consolidación de servidores</t>
  </si>
  <si>
    <t>Soporte técnico, ajustes  y desarrollo nuevas funcionalidades al ERP Si_Capital (nómina, presupuesto, tesorería, almacén, contabilidad)</t>
  </si>
  <si>
    <t>Administración y mantenimiento de los productos Oracle misionales, de apoyo y con componente SIG.</t>
  </si>
  <si>
    <t>Servicio de Vigilancia  (vigencias futuras)</t>
  </si>
  <si>
    <t>Gasa, micropore, curas, yodopovidora, sulfadiazina, jeringas, guantes, toallas, isodine, bisturí, agua oxigenada, algodón, alcohol, venda elástica</t>
  </si>
  <si>
    <t>Pluviómetro Automático</t>
  </si>
  <si>
    <t>Video Beam, ventiladores, máquina de escribir, scaner, teléfonos, fax otros</t>
  </si>
  <si>
    <t xml:space="preserve">Compra o actualización de licencias, imágenes, cartografía </t>
  </si>
  <si>
    <t xml:space="preserve">Capacitación en  pronósticos de tendencia (TREND) en los 12 aeropuertos, nuevo producto requerido para certificacion. </t>
  </si>
  <si>
    <t xml:space="preserve">Capacitacion e Implementación  pronósticos de aterrizaje y despegue  en Bogotá DC.
Producto requerido para certificacion. </t>
  </si>
  <si>
    <t xml:space="preserve">Compra de BRIEFING-NET o instalación de cámaras en las torres de control de los aeropuertos en donde el IDEAM hace presencia e instalación de terminales en las oficinas para continuo seguimiento. </t>
  </si>
  <si>
    <t>Mantenimiento del SSHM -  ajustes y nuevas funcionalidades procesos de agregación, hidrología y otros.
Propongo: Agregaciones, Hidrología (sedinco, nivinco y sus validaciones, aforos sólidos, molinetes y rotores) y resolución de incidentes del SSHM.  balance de caudales.</t>
  </si>
  <si>
    <t>Mantenimiento SSHM - ajustes y nuevas funcionalidades: ozonosondeos, radiosondeos, IDF, evapotranspiraciòn, pluviògrafo.</t>
  </si>
  <si>
    <t xml:space="preserve">Soporte Bodega de Datos (Bolsa de horas anual: 40) </t>
  </si>
  <si>
    <t xml:space="preserve">Soporte Herramienta de transferencia de información SUI-SIA (Bolsa de horas anual: 40) </t>
  </si>
  <si>
    <t>Mantenimiento licencias SIG - Erdas</t>
  </si>
  <si>
    <t>Mantenimiento licencias SIG - ESRI</t>
  </si>
  <si>
    <t>Renovación contrato  de soporte Oracle</t>
  </si>
  <si>
    <t>Mantenimiento de servicios correo y herramientas colaborativas</t>
  </si>
  <si>
    <t>Soporte a manejador de ancho de banda, seguridad perimetral  y red de datos</t>
  </si>
  <si>
    <t>Soporte Hydras y Tecnavia</t>
  </si>
  <si>
    <t>Administración, mantenimiento Base de datos Postgres - del sistema ORFEO, portales y  base de datos SIG (publicacion), servidor versiones y Manejo, administración, configuración, etc de los Servidores de aplicaciones JBOSS. TOMCAT, IIS, Glashfish</t>
  </si>
  <si>
    <t>Administración y soporte técnico del directorio activo del IDEAM</t>
  </si>
  <si>
    <t>Servicio de soporte  técnico y mantenimiento preventivo y correctivo de equipos de cómputo. Periféricos y aplicaciones ofimáticas, incluyendo el suministro de repuestos y el registro de operación mediante mesa de ayuda para  la atención de los requerimientos, en todas las sedes del IDEAM a nivel nacional (Componente 2011 - vigencias futuras)</t>
  </si>
  <si>
    <t xml:space="preserve">MOBILIARIO Y ENSERES </t>
  </si>
  <si>
    <t>PAPELERÍA, ÚTILES DE ESCRITORIO Y OFICINA / ESPECIFICOS</t>
  </si>
  <si>
    <t>anualidad</t>
  </si>
  <si>
    <t>ARRENDAMIENTO  BODEGA PARA ARCHIVO DEL CENTRO DE DOCUMENTACIÓN  BOGOTA</t>
  </si>
  <si>
    <t>Evento</t>
  </si>
  <si>
    <t>Equipo para medición deORP</t>
  </si>
  <si>
    <t>Cabina de extraccion de vapores inorgánicos</t>
  </si>
  <si>
    <t>1</t>
  </si>
  <si>
    <t>Anticorrosivo, abrazaderas, aceite multiusos, alambre de puas, alcohol industrial, amarrres, ángulos de hierra, arandela galvanizada, bloques, boxer, brocas, cemento, candados cargador para batería, cepillos, cinta autofundente, contadores, cuchillas para guadaña, desfogue de gases dióxiods, disco lija para pulidora,  dardos con tuerca y arantela, disolventes, estopa, flexómetro, grapa plástica, gratas, láminas de acero, eternit, lija de agua, linternas recargables, listón de madera, malla forrada en pvc, manguera de alta presión, manguera siliconada, pilas, pinturas, platina de cobre, de hierro, poliamida, puntillas, removedor, rollos de cinta aislante, rollo de soldadura, seguetas, silicona, tornillería, tuercas, unión galvanizada, varillas, vusualizador electrólítico, zuncho plástico y otros materiales para la operación y mantenimiento de la red de estaciones a nivel nacional</t>
  </si>
  <si>
    <t>2-2-520-0900-0004-01-08-10</t>
  </si>
  <si>
    <t>2-1-002-0000-0004-02-01-10</t>
  </si>
  <si>
    <t>Espectrofotometro UV/VIS con arreglo de diodos</t>
  </si>
  <si>
    <t>Equipo para medición de Cianuros con electrodo</t>
  </si>
  <si>
    <t>Reactivos</t>
  </si>
  <si>
    <t>Reactivos ( Pruebas Intercalibración CALA)</t>
  </si>
  <si>
    <t>Vidriería</t>
  </si>
  <si>
    <t>Materiales e Insumos</t>
  </si>
  <si>
    <t>Gases especiales meterología aeronática</t>
  </si>
  <si>
    <t xml:space="preserve">MATERIALES REACTIVOS DE LABORATORIO Y QUÍMICOS </t>
  </si>
  <si>
    <t>Mantenimiento del SSHM - ajustes y nuevas funcionalidades de los componentes: cuasirreales, sinópticas, tablas básicas migraciones, CNE y otros    programas de Migraciones (aforos líquidos), CNE, tablas básicas y Cuasirreales y resolución de incidentes del SSHM.</t>
  </si>
  <si>
    <t xml:space="preserve">Vigencias Futuras Portes de Colombia </t>
  </si>
  <si>
    <t>Administraciòn Sistema de información hidrometeorológica, soporte en depuraciòn de datos y paralelo con SSHM.</t>
  </si>
  <si>
    <t>Administraciòn  tècnica  de las bases de datos vector y raster.</t>
  </si>
  <si>
    <t>Mantenimiento evolutivo al Subsistema de Información FisicoQuímica</t>
  </si>
  <si>
    <t>Contrucciòn, pruebas y puesta en producciòn del subsistema Catálogo Nacional de Estaciones - CNE del SIA.</t>
  </si>
  <si>
    <t>Diseño, desarrollo e implementación del sistema de apoyo a la gestiòn contractual de la entidad</t>
  </si>
  <si>
    <t>Elaboración y Gestión de proyectos informáticos para el manitemiento evolutivo de Sistemas de Información misional</t>
  </si>
  <si>
    <t>Mantenimiento del SSHM - ajustes y nuevas funcionalidades componentes automáticas, mensajes meteorológicos, web services, IDF y otros.
Propongo: Mensajes meteorológicos, web services, IDF, Evapotranspiración, Automáticas, Pluviógrafo y resolución de incidentes del SSHM..</t>
  </si>
  <si>
    <t>Mantenimiento del SSHM - Coordinacion técnica, menús, seguridad, afinamiento sentencias y procedimientos almacenados, estandarización estilos y Web services, evaluación migración nueva arquitectura y plan de trabajo por fases, gestor de Incidentes, adicional  registradores, información faltante de registradores y Nota técnica de Calidad. pruebas tècnicas y entrevistas.</t>
  </si>
  <si>
    <t>Mantenimiento SSHM - documentación general del SIA (manuales, videos, especificaciones), depuración de datos, realización de pruebas del SIA, ejecución migraciones, seguimiento a areas operativas.</t>
  </si>
  <si>
    <t>Analisis, diseño y desarrollo de herramienta informática de apoyo a: tramites administrativos y financieros.</t>
  </si>
  <si>
    <t>Mejorar la conectividad con municipios y gobernaciones para la recepción de informes  de pronósticos y alertas</t>
  </si>
  <si>
    <t>Renovaciòn Certificado Digital SSL Secure Site Pro Vigencia 1 Año (Portal iniciales institucional).</t>
  </si>
  <si>
    <t>Renovaciòn Certificado Digital SSL Secure Site Pro Vigencia 1 Año (Hydras, Centro de Documentación)).</t>
  </si>
  <si>
    <t xml:space="preserve"> Diseño, desarrollo e implementación de una solución para especialización de servidores.</t>
  </si>
  <si>
    <t>2-1-002-0000-0004-04-06-10</t>
  </si>
  <si>
    <t xml:space="preserve">Servicio de administración y aseo de las bodegas 17 y 18 de laboratorio de química ambiental </t>
  </si>
  <si>
    <t xml:space="preserve">Mantenimiento preventivo y correctivo de Bogotá y Areas Operativas </t>
  </si>
  <si>
    <t xml:space="preserve">Mantenimiento operación de la red hidrometeorológica </t>
  </si>
  <si>
    <t xml:space="preserve">Servicio de correo y mensajería </t>
  </si>
  <si>
    <t xml:space="preserve">Mantenimiento, adecuación e instalación de la red e infraestructura telefónica, eléctrica y de comunicaciones voz y datos </t>
  </si>
  <si>
    <t>Mantenimiento de fotocopiadoras</t>
  </si>
  <si>
    <t>Mantenimiento de videoeam</t>
  </si>
  <si>
    <t>Recarga de extintores</t>
  </si>
  <si>
    <t xml:space="preserve">Mantenimiento preventivo y correctivo de aires acondicionados </t>
  </si>
  <si>
    <t>Manteminiento preventivo y correctivo de ups</t>
  </si>
  <si>
    <t>Alquiler transporte terrestre, fluvial y maritimo mantenimiento red hidrometeorológica</t>
  </si>
  <si>
    <t>Internet areas operativas, comunicación comisiones redes</t>
  </si>
  <si>
    <t>MANTENIMIENTO DE BIENES INMUEBLES</t>
  </si>
  <si>
    <t>MANTENIMIENTO DE BIENES MUEBLES, EQUIPOS Y ENSERES</t>
  </si>
  <si>
    <t>MANTENIMIENTO EQUIPO COMUNICACIÓN Y COMPUTACION</t>
  </si>
  <si>
    <t xml:space="preserve">OTROS GASTOS POR IMPRESOS Y PUBLICACIONES </t>
  </si>
  <si>
    <t>2-3-520-0900-0002-56-00-20</t>
  </si>
  <si>
    <t>EQUIPOS Y MAQUINAS PARA OFICINA</t>
  </si>
  <si>
    <t>SUSCRIPCIONES A PERIODICO Y PORTAFOLIO</t>
  </si>
  <si>
    <t>PUBLICACION AVISOS DE PRENSA</t>
  </si>
  <si>
    <t>ARRENDAMIENTO PARA LA UBICACIÓN DEL PLUVIOMETRO AUTOMÁTICO DEL LABORATORIO DE CALIDAD AMBIENTAL (EN BOGOTÁ)</t>
  </si>
  <si>
    <t>ARRENDAMIENTO DE LAS BODEGAS 17 Y 18 PARA EL FUNCIONAMIENTO DEL LABORATORIO DE CALIDAD AMBIENTAL DEL IDEAM UBICADO EN LA CIUDAD DE BOGOTÁ</t>
  </si>
  <si>
    <t>ARRENDAMIENTO DE PARQUEADEROS PARA LOS AUTOMOTORES DE LA SEDE DEL AREA OPERATIVA 7-PASTO</t>
  </si>
  <si>
    <t>ARRENDAMIENTO DE PARQUEADEROS PARA LOS AUTOMOTORES DE LA SEDE DEL AREA OPERATIVA 9-CALI</t>
  </si>
  <si>
    <t>ARRENDAMIENTO DE PARQUEADEROS PARA LOS AUTOMOTORES DE LA SEDE DEL AREA OPERATIVA 8-BUCARAMANGA</t>
  </si>
  <si>
    <t>Impuesto predial</t>
  </si>
  <si>
    <t>SEGUROS GENERALES</t>
  </si>
  <si>
    <t>APORTES NACION</t>
  </si>
  <si>
    <t>RECURSOS PROPIOS</t>
  </si>
  <si>
    <t>Participación en la Fería del Libro</t>
  </si>
  <si>
    <t>Mantenimiento y operación de la red hidrometeorológica</t>
  </si>
  <si>
    <t>ARRENDAMIENTO  PARQUEADEROS BOGOTA</t>
  </si>
  <si>
    <t>Gasolina Areas Operativas - dependencias</t>
  </si>
  <si>
    <t>LLANTAS Y ACCESORIOS</t>
  </si>
  <si>
    <t>DOTACION</t>
  </si>
  <si>
    <t>Dotación oficial</t>
  </si>
  <si>
    <t>Dotación Seguridad Industrial</t>
  </si>
  <si>
    <t>Botiquines</t>
  </si>
  <si>
    <t>Licenciamiento Oracle</t>
  </si>
  <si>
    <t>Soporte Sap_micros</t>
  </si>
  <si>
    <t>Servicio mensual de monitoreo de aplicaciones críticas del Ideam, en horario nocturno.</t>
  </si>
  <si>
    <t>Renovación Licenciamiento para sistemas de gestión de ancho de banda, seguridad perimetral.</t>
  </si>
  <si>
    <t>Gestionar visores y servicios geogràficos y soporte tècnico  a herramientas SIG.</t>
  </si>
  <si>
    <t>Administraciòn tècnica Metadatos, soporte a usuarios</t>
  </si>
  <si>
    <t>Adquisición de equipos, estándares, insumos  y Materiales de Referencia certificados para el Laboratorio de calidad Ambiental del IDEAM (refrigerador para laboratorio, mantas de calentamiento, desecadores de cabina.</t>
  </si>
  <si>
    <t>ENSERES Y EQUIPOS DE OFICINA</t>
  </si>
  <si>
    <t>OTROS MATERIALES Y SUMINISTROS</t>
  </si>
  <si>
    <t>ARRENDAMIENTOS BIENES MUEBLES:</t>
  </si>
  <si>
    <t>EQUIPOS DE LABORATORIO</t>
  </si>
  <si>
    <t>OTRAS COMPRAS DE EQUIPOS</t>
  </si>
  <si>
    <t>2-1-002-0000-0004-05-01-10</t>
  </si>
  <si>
    <t>2-1-002-0000-0004-05-02-10</t>
  </si>
  <si>
    <t>2-1-002-0000-0004-05-06-10</t>
  </si>
  <si>
    <t>2-1-002-0000-0004-05-08-10</t>
  </si>
  <si>
    <t>2-1-002-0000-0004-05-10-10</t>
  </si>
  <si>
    <t>2-1-002-0000-0004-05-12-10</t>
  </si>
  <si>
    <t>2-1-002-0000-0004-05-13-10</t>
  </si>
  <si>
    <t>2-1-002-0000-0004-06-02-10</t>
  </si>
  <si>
    <t>2-1-002-0000-0004-06-03-10</t>
  </si>
  <si>
    <t>2-1-002-0000-0004-06-05-10</t>
  </si>
  <si>
    <t>2-1-002-0000-0004-06-08-10</t>
  </si>
  <si>
    <t>2-1-002-0000-0004-07-05-10</t>
  </si>
  <si>
    <t>2-1-002-0000-0004-07-06-10</t>
  </si>
  <si>
    <t>2-1-002-0000-0004-09-11-10</t>
  </si>
  <si>
    <t>2-1-002-0000-0004-10-02-10</t>
  </si>
  <si>
    <t>2-1-002-0000-0004-10-01-10</t>
  </si>
  <si>
    <t>2-1-002-0000-0004-11-01-10</t>
  </si>
  <si>
    <t>2-1-002-0000-0004-12-03-10</t>
  </si>
  <si>
    <t>2-1-002-0000-0004-21-04-10</t>
  </si>
  <si>
    <t>2-1-002-0000-0004-21-05-10</t>
  </si>
  <si>
    <t>2-1-002-0000-0004-41-13-10</t>
  </si>
  <si>
    <t xml:space="preserve">MANTENIMIENTO DE OTROS BIENES </t>
  </si>
  <si>
    <t>OTROS ENSERES Y EQUIPOS DE OFICINA</t>
  </si>
  <si>
    <t>EQUIPO DE SISTEMAS</t>
  </si>
  <si>
    <t>VIATICOS Y GASTOS DE VIAJE AL EXTERIOR</t>
  </si>
  <si>
    <t>Mantenimiento de la red de estaciones hidrometeorológicas</t>
  </si>
  <si>
    <t>SERVICIOS PUBLICOS</t>
  </si>
  <si>
    <t>CAMPAÑAS</t>
  </si>
  <si>
    <t>2-1-002-0000-0004-07-02-10</t>
  </si>
  <si>
    <t>Prestación de servicios de empaste y reempaste de la colección de libros y documentos del Centro de Documentación</t>
  </si>
  <si>
    <t>SERVICIOS DE BIENESTAR SOCIAL</t>
  </si>
  <si>
    <t>SERVICIOS DE CAPACITACION</t>
  </si>
  <si>
    <t>SERVICIOS PARA ESTIMULOS</t>
  </si>
  <si>
    <t>ESTUDIOS E INVESTIGACION</t>
  </si>
  <si>
    <t>MODALIDAD DE ADQUISICION DE BIENES O SERVICIOS</t>
  </si>
  <si>
    <t>RUBRO PRESUPUESTAL AFECTADO</t>
  </si>
  <si>
    <t>SOFTWARE</t>
  </si>
  <si>
    <t>ADMINISTRACION GESTION DEL CONOCIMIENTO Y LA INFORMACION HIDROMETEOROLOGICA Y AMBIENTAL PARA LA TOMA DE DECISIONES A NIVEL NACIONAL</t>
  </si>
  <si>
    <t>ADMINISTRACION FORTALECIMIENTO DE CAPACIDADES PARA OPTIMIZACION DE LA GESTION INSTITUCIONAL A NIVEL NACIONAL</t>
  </si>
  <si>
    <t>FORTALECIMIENTO DE LA RED HIDROMETEOROLOGICA Y MODELACION EN CAMBIO CLIMATICO NACIONAL</t>
  </si>
  <si>
    <t>MEJORAMIENTO, IDENTIFICACION, SEGUIMIENTO Y MONITOREO DE AMENAZAS HIDROMETEOROLOGICAS PARA ALERTAS TEMPRANAS</t>
  </si>
  <si>
    <t>INVERSION</t>
  </si>
  <si>
    <t>2-1-002-0000-0004-06-07-10</t>
  </si>
  <si>
    <t xml:space="preserve">TRANSPORTE </t>
  </si>
  <si>
    <t>ARRENDAMIENTOS BIENES INMUEBLES:</t>
  </si>
  <si>
    <t>Nacionalizacion de mercancias</t>
  </si>
  <si>
    <t xml:space="preserve">MATERIALES DE CONSTRUCCION </t>
  </si>
  <si>
    <t>2-2-530-0900-0004-00-00-11</t>
  </si>
  <si>
    <t>2-2-530-0900-0003-00-00-11</t>
  </si>
  <si>
    <t>2-2-530-0900-0002-00-00-11</t>
  </si>
  <si>
    <t>Exámenes médicos - salud Ocupacional</t>
  </si>
  <si>
    <t xml:space="preserve">Ejecutar actividades de bienestar social para servidores públicos del Instituto </t>
  </si>
  <si>
    <t>Transporte de carga comisiones, operación y mantenimiento de la r ed</t>
  </si>
  <si>
    <t>2-1-002-0000-0004-05-05-10</t>
  </si>
  <si>
    <t>2-1-002-0000-0004-41-04-10</t>
  </si>
  <si>
    <t>2-1-002-0000-0004-02-10-10</t>
  </si>
  <si>
    <t>MANTENIMIENTO DE SOFTWARE</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</si>
  <si>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</si>
  <si>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</si>
  <si>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</si>
  <si>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</si>
  <si>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COMPRA</t>
  </si>
  <si>
    <t>RESPONSABLE DEL RUBRO</t>
  </si>
  <si>
    <t>Informática</t>
  </si>
  <si>
    <t>Laboratorio</t>
  </si>
  <si>
    <t>R. Físicos</t>
  </si>
  <si>
    <t>R.  Físicos</t>
  </si>
  <si>
    <t>DESCRIPCION DEL BIEN O SERVICIO, ADQUIRIR O PRESTADOS</t>
  </si>
  <si>
    <t>Redes</t>
  </si>
  <si>
    <t>Dotación personal femenino y masculino</t>
  </si>
  <si>
    <t xml:space="preserve">Baterías, papelería técnica, anemógracos, plumilas, malacate, higrografo,  termómetros, reloj para anemógrafo, reglillas, probetas, tornillos </t>
  </si>
  <si>
    <t>Impuesto vehículo</t>
  </si>
  <si>
    <t>Talento Humano</t>
  </si>
  <si>
    <t>R.Fisicos</t>
  </si>
  <si>
    <t>Adquición de equipos</t>
  </si>
  <si>
    <t xml:space="preserve">Abrigo impermeable, blusas blancas, pantalón en material gabardina, botas diferentes materiales, cachuchas, caretas, cartuchos, cascos, chalecos, chaquetas impermeables, gafas para protección, guantes direrentes materiales, overoles, polainas, respiradores, tapabocas y otros </t>
  </si>
  <si>
    <t>Mantenimiento equipos de Microscopía, espectrofotómetros, equipos con calibraciones, equipo AA y microondas, equipo de aire</t>
  </si>
  <si>
    <t>Arrendamiento UPS de 110 Kva  para la sede central  y aeropuertos y otros</t>
  </si>
  <si>
    <t>Meterología Aeronáutica</t>
  </si>
  <si>
    <t>Almacén</t>
  </si>
  <si>
    <t>Documentación</t>
  </si>
  <si>
    <t>Servicio Canal de internet sede central</t>
  </si>
  <si>
    <t xml:space="preserve">Servicio Canal de internet sede central - Segundo Canal </t>
  </si>
  <si>
    <t xml:space="preserve">Solución de Telefonía IP </t>
  </si>
  <si>
    <t>Internet y teléfono transmisión de datos</t>
  </si>
  <si>
    <t>Comunicaciones</t>
  </si>
  <si>
    <t>Dependencias</t>
  </si>
  <si>
    <t xml:space="preserve">Adquirir a título de compraventa sifones para pluviógrafos fuess </t>
  </si>
  <si>
    <t xml:space="preserve">Realizar matenimiento de la cámara climática </t>
  </si>
  <si>
    <t>Balanzas de precisión, bombas al vacío, transmisores satelitales, datalloger, muestreadores integradores, sensores, repuestos para la red, herramientas (calibrador, martillo, limas, pinzas, destornillador)</t>
  </si>
  <si>
    <t>Balanzas de precisión, bombas al vacío, transmisores satelitales, datalloger, muestreadores integradores, sensores, repuestos para la red, repuestos para la unidad móvil de calidad del aire,  herramientas (calibrador, martillo, limas, pinzas, destornillador)</t>
  </si>
  <si>
    <t>Adquisición de equipos de cómputo estaciones de trabajo</t>
  </si>
  <si>
    <t>Meteorología aeronáutica</t>
  </si>
  <si>
    <t>Instalación, diseño y suministro de un sistema de oficina abierta areas operativas  (mesas, escritorios, bibliotecas, sillas, persianas</t>
  </si>
  <si>
    <t>FORMULACION PLAN DE COMPRAS (MODIFICADO A 30 DE SEPTIEMBRE DE 2012)</t>
  </si>
  <si>
    <t>Adquisición de equipos de cómputo  (computadores portátiles, de escritorio, scaner, impresoras), equipos activos de red (switches, sistemas de almacenamietno</t>
  </si>
  <si>
    <t xml:space="preserve">Contribuciones </t>
  </si>
  <si>
    <t>A-2-0-4-1-6</t>
  </si>
  <si>
    <t>A-2-0-4-1-8</t>
  </si>
  <si>
    <t>A-2-0-3-50-2</t>
  </si>
  <si>
    <t>A-2-0-3-50-3</t>
  </si>
  <si>
    <t>A-2-0-3-50-5</t>
  </si>
  <si>
    <t>A-2-0-4-1-10</t>
  </si>
  <si>
    <t>A-2-0-4-1-25</t>
  </si>
  <si>
    <t>Adquirir baterías y reguladores para estac. autom. rad. 700-1413</t>
  </si>
  <si>
    <t>Adquisición pantallas LCD e insumos necesarios para su instalación con el fin de presentar información  meteorológica</t>
  </si>
  <si>
    <t>Meteorología</t>
  </si>
  <si>
    <t>A-2-0-4-2-1</t>
  </si>
  <si>
    <t>Adquisición e instalación de muebles para oficina de acuerdo con las especificaciones técnicas.</t>
  </si>
  <si>
    <t>Adquirir a titulo de compraventa mesas y sillas resistentes a la intemperie, a la luz ultravioleta y al calor según las especificaciones técnicas establecidas</t>
  </si>
  <si>
    <t>Adquirir el suministro e instalación de bancos de trabajo para laboratorio de electrónica -enseres y equipos de oficina</t>
  </si>
  <si>
    <t>Compra de aires acondicionados para oficinas del IDEAM y aeropuertos.</t>
  </si>
  <si>
    <t>Compra estibador y estanteria para Almacén</t>
  </si>
  <si>
    <t>A-2-0-4-2-2</t>
  </si>
  <si>
    <t>A-2-0-4-2-10</t>
  </si>
  <si>
    <t>A-2-0-4-4-2</t>
  </si>
  <si>
    <t>Elaboración y adquisición de chaqueta, pantalón y camisa para los funcionarios del instituto y morrales para visitas a campo</t>
  </si>
  <si>
    <t>Botiquines: Gasa, micropore, curas, yodopovidora, sulfadiazina, jeringas, guantes, toallas, isodine, bisturí, agua oxigenada, algodón, alcohol, venda elástica</t>
  </si>
  <si>
    <t>A-2-0-4-4-1</t>
  </si>
  <si>
    <t>Suministro e instalación de llantas para los vehículos y motos de propiedad del IDEAM</t>
  </si>
  <si>
    <t>A-2-0-4-4-6</t>
  </si>
  <si>
    <t>Adquisición elementos de ferretería para trabajos eléctricos hidrosanitarios locativos</t>
  </si>
  <si>
    <t>A-2-0-4-4-9</t>
  </si>
  <si>
    <t>A-2-0-4-4-12</t>
  </si>
  <si>
    <t>A-2-0-4-4-23</t>
  </si>
  <si>
    <t>A-2-0-4-5-1</t>
  </si>
  <si>
    <t>Mantenimiento de fotocopiadoras y video beam</t>
  </si>
  <si>
    <t>Mantenimiento de la cámara clímatica del IDEAM</t>
  </si>
  <si>
    <t>A-2-0-4-5-2</t>
  </si>
  <si>
    <t>A-2-0-4-5-5</t>
  </si>
  <si>
    <t>Redes y R. Físicos</t>
  </si>
  <si>
    <t>A-2-0-4-5-6</t>
  </si>
  <si>
    <t>A-2-0-4-5-8</t>
  </si>
  <si>
    <t>A-2-0-4-5-10</t>
  </si>
  <si>
    <t>A-2-0-4-5-12</t>
  </si>
  <si>
    <t>A-2-0-4-5-13</t>
  </si>
  <si>
    <t>Servicios de soporte mantenimiento y actualización de licencias de software  ESRI</t>
  </si>
  <si>
    <t>Servicio de soporte mantenimiento y actualización de las licencias Oracle de propiedad del IDEAM</t>
  </si>
  <si>
    <t>Renovación licenciamiento para sistemas de gestion de ancho de banda seguridad perimetral</t>
  </si>
  <si>
    <t>Mantenimiento de servicio de correo y herramientas colaborativas</t>
  </si>
  <si>
    <t>Desarrollo e implementación de una solución para especialización de servidores</t>
  </si>
  <si>
    <t>Soporte técnico optimización y desarrollo portales institucionales</t>
  </si>
  <si>
    <t>Servicio de soporte mantenimiento y actualización de licencia de software</t>
  </si>
  <si>
    <t>Servicio de mantenimiento y soporte licencias SIG - ERDAS</t>
  </si>
  <si>
    <t>Renovación adquisición e instalación de certificados digitales SSL 1 año para 4 servidores</t>
  </si>
  <si>
    <t>Servicio de suscripción y entrenamiento en jboss enterprise application platform with management</t>
  </si>
  <si>
    <t>A-2-0-4-6-2</t>
  </si>
  <si>
    <t>A-2-0-4-6-3</t>
  </si>
  <si>
    <t>A-2-0-4-6-5</t>
  </si>
  <si>
    <t>Servicio de transporte.</t>
  </si>
  <si>
    <t>A-2-0-4-7-6</t>
  </si>
  <si>
    <t>Pauta publicitaria paginas blancas</t>
  </si>
  <si>
    <t>Publicación directorio de circulación nacional</t>
  </si>
  <si>
    <t>Prestación de servicios de empaste y reempaste de la colección de libros y documentos técnicos del IDEAM</t>
  </si>
  <si>
    <t>Papelería técnica según especificaciones</t>
  </si>
  <si>
    <t>R.Físicos</t>
  </si>
  <si>
    <t>A-2-0-4-6-7</t>
  </si>
  <si>
    <t>Campañas</t>
  </si>
  <si>
    <t>Servicio corrección y orto tipográfica, armada electrónica, diseño y diagramación, elaboración e impresión de libros misionales del IDEAM.</t>
  </si>
  <si>
    <t>A-2-0-4-7-2</t>
  </si>
  <si>
    <t>Suscripción en línea suscripciones diarias y rotativas colecciones virtuales normatividad y legislación</t>
  </si>
  <si>
    <t>Suscripción periodicos amplia circulación nacional, el tiempo, el espectador y Portafolio</t>
  </si>
  <si>
    <t>Suscripciones</t>
  </si>
  <si>
    <t>Vigencias futuras arrendamientos inmuebles IDEAM y Areas Operativas</t>
  </si>
  <si>
    <t>A-2-0-4-10-2</t>
  </si>
  <si>
    <t>Arrendamiento UPS de 110 Kva  para la sede central  y aeropuertos y otros. Incluye vigencias futuras</t>
  </si>
  <si>
    <t>A-2-0-4-10-1</t>
  </si>
  <si>
    <t>A-2-0-4-12-3</t>
  </si>
  <si>
    <t>A-2-0-4-11-1</t>
  </si>
  <si>
    <t>A-2-0-4-21-4</t>
  </si>
  <si>
    <t>Ejecutar actividades de bienestar social para servidores públicos del Instituto.</t>
  </si>
  <si>
    <t>A-2-0-4-21-5</t>
  </si>
  <si>
    <t>Diplomado en estadística para fortalecer las competencias funcionales de los servidores pub.</t>
  </si>
  <si>
    <t>Capacitación del congreso nacional de gestión financiera</t>
  </si>
  <si>
    <t>Capacitación indicadores de desarrollo sostenible e indicadores de tercera generación</t>
  </si>
  <si>
    <t>Capacitación para fortalecer competencias de servidores públicos, seminario taller sobre normas internacionales de contabilidad SIIF</t>
  </si>
  <si>
    <t>Capacitación que se realizara f &amp; c consultores s.a.s</t>
  </si>
  <si>
    <t>Curso taller auditoria interna de calidad en la norma ntcgp1000:2009</t>
  </si>
  <si>
    <t>Seminario taller inteligencia emocional para fortalecer competencias funcionales</t>
  </si>
  <si>
    <t>Capacitación jornada nacional de actualización en contratación publica</t>
  </si>
  <si>
    <t>Congreso de derecho disciplinario para fortalecer competencias de los servidores públicos</t>
  </si>
  <si>
    <t>Capacitacion en ingenieria de requerimientos para fortalecer las competencias funcionales y tecnicas de los servidores publicos</t>
  </si>
  <si>
    <t>Curso de comunicaciones y redes fisicas e inalambricas</t>
  </si>
  <si>
    <t>Capacitacion en el sistema operativo linux incluyendo componente de virtualizacion de servidores sobre plataforma red hat</t>
  </si>
  <si>
    <t>Capacitación en la administración y manejo de bases de datos, progress, sql, mysql y oracle para fortalecer las competencias funcionales de los servidores públicos del instituto.</t>
  </si>
  <si>
    <t>Curso taller politicas y negociaciones internacionales ambientales</t>
  </si>
  <si>
    <t>Convenio Apoyo eductivo ICETEX-IDEAM</t>
  </si>
  <si>
    <t>Participacion primer curso nacional y jornada de calibracion de instrumentos radiometricos</t>
  </si>
  <si>
    <t>A-2-0-4-41-4</t>
  </si>
  <si>
    <t>A-2-0-4-41-13</t>
  </si>
  <si>
    <t>C-520-900-2</t>
  </si>
  <si>
    <t>Apoyo logisto para realización de talleres</t>
  </si>
  <si>
    <t>Tiquetes aéreos y al exterior.</t>
  </si>
  <si>
    <t>Diagramación, corrección de estilos, impresión y acabdos finales de libros calidad del aire, Glaciares y material técnico.</t>
  </si>
  <si>
    <t>Evaluación horaria de graficas de pluviógrafo y/o termógrafo evaluación temperatura estaciones sinópticas</t>
  </si>
  <si>
    <t>Adquisición de software en meteorología especializada.</t>
  </si>
  <si>
    <t>Adquisición imágenes sensores remotos en áreas con vacíos de información determinadas por el IDEAM</t>
  </si>
  <si>
    <t>Ecosistemas</t>
  </si>
  <si>
    <t>Estudios Ambientales</t>
  </si>
  <si>
    <t xml:space="preserve">
Fabricación de piñones para instrumental registrador
</t>
  </si>
  <si>
    <t>Adquisición equipos de computo, perifericos para soportar la infraestructura tecnologica del IDEAM</t>
  </si>
  <si>
    <t>Adquisición UPS 3 kva</t>
  </si>
  <si>
    <t>Adquisición licencias para procesamiento de información satelital para aplicación de monitoreo de coberturas según requerimientos técnicos</t>
  </si>
  <si>
    <t>Talleres de participación consolidación de la línea base y lineamientos estratégicos y manejo de la herramienta AQUACROP FAO.</t>
  </si>
  <si>
    <t>Servicio  implementación de políticas de protección de la información de la entidad</t>
  </si>
  <si>
    <t>C-520-900-3</t>
  </si>
  <si>
    <t>Interventoría de obras para addecuación de la infraestructura física del IDEAM.</t>
  </si>
  <si>
    <t>Mantenimiento de la infraestructura física del IDEAM a nivel nacional.</t>
  </si>
  <si>
    <t>Soporte técnico optimización y desarrollo portales institucionales.</t>
  </si>
  <si>
    <t>C-520-900-4</t>
  </si>
  <si>
    <t>Adquirir e instalar insumos y repuestos para unidad móvil de monitoreo de la calidad del aire</t>
  </si>
  <si>
    <t>Adquirir 13 transmisores satelitales goes s/n especificaciones técnicas del IDEAM</t>
  </si>
  <si>
    <t>C-520-900-5</t>
  </si>
  <si>
    <t>Adquirir plataformas colectoras de datos marca OTT</t>
  </si>
  <si>
    <t>C-520-900-2-0-9</t>
  </si>
  <si>
    <t>FORMULACION PLAN DE COMPRAS (MODIFICADO A 31 DE DICIEMBRE DE 2012)</t>
  </si>
</sst>
</file>

<file path=xl/styles.xml><?xml version="1.0" encoding="utf-8"?>
<styleSheet xmlns="http://schemas.openxmlformats.org/spreadsheetml/2006/main">
  <numFmts count="6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 #,##0_-;\-* #,##0_-;_-* &quot;-&quot;??_-;_-@_-"/>
    <numFmt numFmtId="189" formatCode="dd\-mm\-yy"/>
    <numFmt numFmtId="190" formatCode="_ * #,##0_ ;_ * \-#,##0_ ;_ * &quot;-&quot;??_ ;_ @_ "/>
    <numFmt numFmtId="191" formatCode="#,##0.0"/>
    <numFmt numFmtId="192" formatCode="dd/mm/yy;@"/>
    <numFmt numFmtId="193" formatCode="_ * #,##0.0_ ;_ * \-#,##0.0_ ;_ * &quot;-&quot;??_ ;_ @_ "/>
    <numFmt numFmtId="194" formatCode="0.0%"/>
    <numFmt numFmtId="195" formatCode="[$-240A]dddd\,\ dd&quot; de &quot;mmmm&quot; de &quot;yyyy"/>
    <numFmt numFmtId="196" formatCode="dd\-mm\-yy;@"/>
    <numFmt numFmtId="197" formatCode="_ &quot;$&quot;\ * #,##0_ ;_ &quot;$&quot;\ * \-#,##0_ ;_ &quot;$&quot;\ * &quot;-&quot;??_ ;_ @_ "/>
    <numFmt numFmtId="198" formatCode="_(* #,##0_);_(* \(#,##0\);_(* &quot;-&quot;??_);_(@_)"/>
    <numFmt numFmtId="199" formatCode="0.0"/>
    <numFmt numFmtId="200" formatCode="_ * #,##0.000_ ;_ * \-#,##0.000_ ;_ * &quot;-&quot;??_ ;_ @_ "/>
    <numFmt numFmtId="201" formatCode="_ * #,##0.0000_ ;_ * \-#,##0.0000_ ;_ * &quot;-&quot;??_ ;_ @_ "/>
    <numFmt numFmtId="202" formatCode="&quot;$&quot;\ #,##0.00"/>
    <numFmt numFmtId="203" formatCode="&quot;$&quot;\ #,##0"/>
    <numFmt numFmtId="204" formatCode="_(&quot;$&quot;\ * #,##0_);_(&quot;$&quot;\ * \(#,##0\);_(&quot;$&quot;\ * &quot;-&quot;??_);_(@_)"/>
    <numFmt numFmtId="205" formatCode="dd/mm/yyyy;@"/>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_(* #,##0.0_);_(* \(#,##0.0\);_(* &quot;-&quot;??_);_(@_)"/>
    <numFmt numFmtId="211" formatCode="_-* #,##0.0\ _$_-;\-* #,##0.0\ _$_-;_-* &quot;-&quot;?\ _$_-;_-@_-"/>
    <numFmt numFmtId="212" formatCode="[$$-240A]\ #,##0"/>
    <numFmt numFmtId="213" formatCode="0.0000"/>
    <numFmt numFmtId="214" formatCode="_-* #,##0.00\ _P_t_a_-;\-* #,##0.00\ _P_t_a_-;_-* &quot;-&quot;??\ _P_t_a_-;_-@_-"/>
    <numFmt numFmtId="215" formatCode="#,##0_);\-#,##0"/>
    <numFmt numFmtId="216" formatCode="&quot;$&quot;\ #,##0.0"/>
    <numFmt numFmtId="217" formatCode="[$-C0A]d\-mmm\-yyyy;@"/>
    <numFmt numFmtId="218" formatCode="_(&quot;$&quot;* #,##0_);_(&quot;$&quot;* \(#,##0\);_(&quot;$&quot;* &quot;-&quot;_);_(@_)"/>
    <numFmt numFmtId="219" formatCode="_(&quot;$&quot;* #,##0.00_);_(&quot;$&quot;* \(#,##0.00\);_(&quot;$&quot;* &quot;-&quot;??_);_(@_)"/>
    <numFmt numFmtId="220" formatCode="yyyy/mm/dd"/>
    <numFmt numFmtId="221" formatCode="0.00000000"/>
    <numFmt numFmtId="222" formatCode="0.0000000"/>
    <numFmt numFmtId="223" formatCode="_(* #,##0.0_);_(* \(#,##0.0\);_(* &quot;-&quot;?_);_(@_)"/>
    <numFmt numFmtId="224" formatCode="#,##0;[Red]#,##0"/>
  </numFmts>
  <fonts count="52">
    <font>
      <sz val="10"/>
      <name val="Arial"/>
      <family val="0"/>
    </font>
    <font>
      <sz val="10"/>
      <name val="Arial Narrow"/>
      <family val="2"/>
    </font>
    <font>
      <b/>
      <sz val="10"/>
      <name val="Arial Narrow"/>
      <family val="2"/>
    </font>
    <font>
      <b/>
      <sz val="10"/>
      <color indexed="8"/>
      <name val="Arial Narrow"/>
      <family val="2"/>
    </font>
    <font>
      <sz val="11"/>
      <color indexed="8"/>
      <name val="Calibri"/>
      <family val="2"/>
    </font>
    <font>
      <b/>
      <i/>
      <sz val="10"/>
      <name val="Arial Narrow"/>
      <family val="2"/>
    </font>
    <font>
      <sz val="10"/>
      <color indexed="10"/>
      <name val="Arial Narrow"/>
      <family val="2"/>
    </font>
    <font>
      <sz val="10"/>
      <color indexed="8"/>
      <name val="Arial Narrow"/>
      <family val="2"/>
    </font>
    <font>
      <b/>
      <sz val="10"/>
      <color indexed="10"/>
      <name val="Arial Narrow"/>
      <family val="2"/>
    </font>
    <font>
      <b/>
      <sz val="9"/>
      <name val="Arial Narrow"/>
      <family val="2"/>
    </font>
    <font>
      <sz val="9"/>
      <name val="Arial Narrow"/>
      <family val="2"/>
    </font>
    <font>
      <i/>
      <sz val="10"/>
      <name val="Arial Narrow"/>
      <family val="2"/>
    </font>
    <font>
      <sz val="11"/>
      <color indexed="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u val="single"/>
      <sz val="11"/>
      <color indexed="12"/>
      <name val="Calibri"/>
      <family val="2"/>
    </font>
    <font>
      <u val="single"/>
      <sz val="10"/>
      <color indexed="20"/>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b/>
      <sz val="16"/>
      <name val="Arial Narrow"/>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u val="single"/>
      <sz val="11"/>
      <color theme="10"/>
      <name val="Calibri"/>
      <family val="2"/>
    </font>
    <font>
      <u val="single"/>
      <sz val="10"/>
      <color theme="11"/>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1"/>
      <name val="Arial"/>
      <family val="2"/>
    </font>
    <font>
      <sz val="10"/>
      <color theme="1"/>
      <name val="Arial Narrow"/>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theme="3" tint="0.39998000860214233"/>
        <bgColor indexed="64"/>
      </patternFill>
    </fill>
    <fill>
      <patternFill patternType="solid">
        <fgColor rgb="FF0070C0"/>
        <bgColor indexed="64"/>
      </patternFill>
    </fill>
    <fill>
      <patternFill patternType="solid">
        <fgColor theme="3" tint="0.5999900102615356"/>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color indexed="63"/>
      </right>
      <top style="thin"/>
      <bottom>
        <color indexed="63"/>
      </bottom>
    </border>
    <border>
      <left/>
      <right style="thin"/>
      <top style="thin"/>
      <bottom>
        <color indexed="63"/>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187" fontId="0" fillId="0" borderId="0" applyFont="0" applyFill="0" applyBorder="0" applyAlignment="0" applyProtection="0"/>
    <xf numFmtId="187" fontId="0" fillId="0" borderId="0" applyFon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79" fontId="0" fillId="0" borderId="0" applyFont="0" applyFill="0" applyBorder="0" applyAlignment="0" applyProtection="0"/>
    <xf numFmtId="187" fontId="0" fillId="0" borderId="0" applyFont="0" applyFill="0" applyBorder="0" applyAlignment="0" applyProtection="0"/>
    <xf numFmtId="179" fontId="0" fillId="0" borderId="0" applyFont="0" applyFill="0" applyBorder="0" applyAlignment="0" applyProtection="0"/>
    <xf numFmtId="187"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44" fontId="4" fillId="0" borderId="0" applyFont="0" applyFill="0" applyBorder="0" applyAlignment="0" applyProtection="0"/>
    <xf numFmtId="178" fontId="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44" fillId="20"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437">
    <xf numFmtId="0" fontId="0" fillId="0" borderId="0" xfId="0" applyAlignment="1">
      <alignment/>
    </xf>
    <xf numFmtId="0" fontId="1" fillId="0" borderId="0" xfId="0" applyFont="1" applyFill="1" applyAlignment="1">
      <alignment/>
    </xf>
    <xf numFmtId="0" fontId="1" fillId="0" borderId="0" xfId="0" applyFont="1" applyFill="1" applyBorder="1" applyAlignment="1">
      <alignment/>
    </xf>
    <xf numFmtId="0" fontId="1" fillId="0" borderId="10" xfId="0" applyFont="1" applyFill="1" applyBorder="1" applyAlignment="1">
      <alignment horizontal="justify" vertical="top" wrapText="1"/>
    </xf>
    <xf numFmtId="0" fontId="1" fillId="0" borderId="10" xfId="0" applyFont="1" applyFill="1" applyBorder="1" applyAlignment="1">
      <alignment horizontal="justify" vertical="top"/>
    </xf>
    <xf numFmtId="0" fontId="2" fillId="0" borderId="10" xfId="0" applyFont="1" applyFill="1" applyBorder="1" applyAlignment="1">
      <alignment horizontal="justify" vertical="top" wrapText="1"/>
    </xf>
    <xf numFmtId="2" fontId="1" fillId="0" borderId="10" xfId="0" applyNumberFormat="1" applyFont="1" applyFill="1" applyBorder="1" applyAlignment="1">
      <alignment horizontal="justify" vertical="top" wrapText="1"/>
    </xf>
    <xf numFmtId="0" fontId="1" fillId="0" borderId="10" xfId="0" applyNumberFormat="1" applyFont="1" applyFill="1" applyBorder="1" applyAlignment="1">
      <alignment horizontal="left" wrapText="1"/>
    </xf>
    <xf numFmtId="0" fontId="1" fillId="0" borderId="0" xfId="0" applyFont="1" applyFill="1" applyBorder="1" applyAlignment="1">
      <alignment horizontal="center"/>
    </xf>
    <xf numFmtId="0" fontId="2" fillId="0" borderId="10" xfId="0" applyFont="1" applyFill="1" applyBorder="1" applyAlignment="1">
      <alignment horizontal="center" vertical="top"/>
    </xf>
    <xf numFmtId="0" fontId="1" fillId="0" borderId="0" xfId="0" applyFont="1" applyFill="1" applyAlignment="1">
      <alignment horizontal="justify" vertical="top" wrapText="1"/>
    </xf>
    <xf numFmtId="0" fontId="1" fillId="0" borderId="0" xfId="0" applyFont="1" applyFill="1" applyAlignment="1">
      <alignment horizontal="justify" vertical="top"/>
    </xf>
    <xf numFmtId="3" fontId="2" fillId="0" borderId="10" xfId="0" applyNumberFormat="1" applyFont="1" applyFill="1" applyBorder="1" applyAlignment="1">
      <alignment horizontal="center" vertical="top"/>
    </xf>
    <xf numFmtId="3"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xf>
    <xf numFmtId="0" fontId="1" fillId="0" borderId="10" xfId="0" applyFont="1" applyFill="1" applyBorder="1" applyAlignment="1">
      <alignment horizontal="center" vertical="center"/>
    </xf>
    <xf numFmtId="3" fontId="1" fillId="0" borderId="10" xfId="0" applyNumberFormat="1" applyFont="1" applyFill="1" applyBorder="1" applyAlignment="1">
      <alignment horizontal="center" vertical="center"/>
    </xf>
    <xf numFmtId="3"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top" wrapText="1"/>
    </xf>
    <xf numFmtId="1" fontId="1" fillId="0" borderId="10" xfId="0" applyNumberFormat="1" applyFont="1" applyFill="1" applyBorder="1" applyAlignment="1">
      <alignment horizontal="center"/>
    </xf>
    <xf numFmtId="0" fontId="6" fillId="0" borderId="0" xfId="0" applyFont="1" applyFill="1" applyAlignment="1">
      <alignment horizontal="justify" vertical="top" wrapText="1"/>
    </xf>
    <xf numFmtId="1"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xf>
    <xf numFmtId="190" fontId="2" fillId="0" borderId="10" xfId="50" applyNumberFormat="1" applyFont="1" applyFill="1" applyBorder="1" applyAlignment="1">
      <alignment horizontal="right" vertical="top"/>
    </xf>
    <xf numFmtId="0" fontId="2" fillId="0" borderId="0" xfId="0" applyFont="1" applyFill="1" applyAlignment="1">
      <alignment horizontal="justify" vertical="top"/>
    </xf>
    <xf numFmtId="190" fontId="1" fillId="0" borderId="10" xfId="50" applyNumberFormat="1" applyFont="1" applyFill="1" applyBorder="1" applyAlignment="1">
      <alignment horizontal="right" vertical="top"/>
    </xf>
    <xf numFmtId="49" fontId="1" fillId="0" borderId="10" xfId="0" applyNumberFormat="1" applyFont="1" applyFill="1" applyBorder="1" applyAlignment="1">
      <alignment horizontal="center"/>
    </xf>
    <xf numFmtId="190" fontId="1" fillId="0" borderId="10" xfId="50" applyNumberFormat="1" applyFont="1" applyFill="1" applyBorder="1" applyAlignment="1">
      <alignment horizontal="right"/>
    </xf>
    <xf numFmtId="190" fontId="1" fillId="0" borderId="0" xfId="50" applyNumberFormat="1" applyFont="1" applyFill="1" applyBorder="1" applyAlignment="1">
      <alignment horizontal="right"/>
    </xf>
    <xf numFmtId="198" fontId="1" fillId="0" borderId="10" xfId="50" applyNumberFormat="1" applyFont="1" applyFill="1" applyBorder="1" applyAlignment="1">
      <alignment horizontal="right" vertical="center"/>
    </xf>
    <xf numFmtId="198" fontId="2" fillId="0" borderId="10" xfId="50" applyNumberFormat="1" applyFont="1" applyFill="1" applyBorder="1" applyAlignment="1">
      <alignment horizontal="right" vertical="center"/>
    </xf>
    <xf numFmtId="0" fontId="1" fillId="0" borderId="10" xfId="0" applyFont="1" applyFill="1" applyBorder="1" applyAlignment="1">
      <alignment horizontal="left" vertical="center"/>
    </xf>
    <xf numFmtId="0" fontId="1" fillId="0" borderId="10" xfId="0" applyFont="1" applyFill="1" applyBorder="1" applyAlignment="1" applyProtection="1">
      <alignment horizontal="justify" vertical="center"/>
      <protection locked="0"/>
    </xf>
    <xf numFmtId="0" fontId="1" fillId="0" borderId="10" xfId="0" applyFont="1" applyFill="1" applyBorder="1" applyAlignment="1">
      <alignment horizontal="center" vertical="center" wrapText="1"/>
    </xf>
    <xf numFmtId="3" fontId="1" fillId="0" borderId="10" xfId="50" applyNumberFormat="1" applyFont="1" applyFill="1" applyBorder="1" applyAlignment="1">
      <alignment horizontal="right" vertical="top"/>
    </xf>
    <xf numFmtId="0" fontId="1" fillId="0" borderId="10" xfId="0" applyFont="1" applyFill="1" applyBorder="1" applyAlignment="1">
      <alignment horizontal="justify" vertical="center" wrapText="1"/>
    </xf>
    <xf numFmtId="0" fontId="1" fillId="0" borderId="10" xfId="0" applyFont="1" applyFill="1" applyBorder="1" applyAlignment="1">
      <alignment vertical="center" wrapText="1"/>
    </xf>
    <xf numFmtId="0" fontId="1" fillId="0" borderId="10" xfId="0" applyFont="1" applyFill="1" applyBorder="1" applyAlignment="1">
      <alignment wrapText="1"/>
    </xf>
    <xf numFmtId="3" fontId="1" fillId="0" borderId="10" xfId="0" applyNumberFormat="1" applyFont="1" applyFill="1" applyBorder="1" applyAlignment="1">
      <alignment horizontal="center"/>
    </xf>
    <xf numFmtId="0" fontId="1" fillId="0" borderId="10" xfId="0" applyNumberFormat="1" applyFont="1" applyFill="1" applyBorder="1" applyAlignment="1">
      <alignment vertical="center" wrapText="1"/>
    </xf>
    <xf numFmtId="1" fontId="1" fillId="0" borderId="10" xfId="0" applyNumberFormat="1" applyFont="1" applyFill="1" applyBorder="1" applyAlignment="1">
      <alignment horizontal="center" vertical="top"/>
    </xf>
    <xf numFmtId="0" fontId="1" fillId="0" borderId="10" xfId="0" applyNumberFormat="1" applyFont="1" applyFill="1" applyBorder="1" applyAlignment="1">
      <alignment horizontal="center" vertical="center"/>
    </xf>
    <xf numFmtId="0" fontId="1" fillId="0" borderId="10" xfId="0" applyFont="1" applyFill="1" applyBorder="1" applyAlignment="1">
      <alignment horizontal="justify" vertical="center"/>
    </xf>
    <xf numFmtId="0" fontId="1" fillId="0" borderId="10" xfId="0" applyFont="1" applyFill="1" applyBorder="1" applyAlignment="1">
      <alignment horizontal="center" wrapText="1"/>
    </xf>
    <xf numFmtId="3" fontId="1"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right"/>
    </xf>
    <xf numFmtId="3" fontId="1" fillId="0" borderId="10" xfId="50" applyNumberFormat="1" applyFont="1" applyFill="1" applyBorder="1" applyAlignment="1">
      <alignment horizontal="right" vertical="center"/>
    </xf>
    <xf numFmtId="0" fontId="1" fillId="0" borderId="10" xfId="0" applyFont="1" applyFill="1" applyBorder="1" applyAlignment="1">
      <alignment horizontal="left" vertical="top"/>
    </xf>
    <xf numFmtId="0" fontId="1" fillId="0" borderId="10" xfId="0" applyFont="1" applyFill="1" applyBorder="1" applyAlignment="1">
      <alignment horizontal="left"/>
    </xf>
    <xf numFmtId="0" fontId="1" fillId="0" borderId="10" xfId="0" applyFont="1" applyFill="1" applyBorder="1" applyAlignment="1">
      <alignment horizontal="right" vertical="top"/>
    </xf>
    <xf numFmtId="0" fontId="1" fillId="0" borderId="10" xfId="0" applyFont="1" applyFill="1" applyBorder="1" applyAlignment="1">
      <alignment horizontal="right" vertical="center"/>
    </xf>
    <xf numFmtId="0" fontId="1" fillId="0" borderId="10" xfId="0" applyFont="1" applyFill="1" applyBorder="1" applyAlignment="1">
      <alignment horizontal="right"/>
    </xf>
    <xf numFmtId="0" fontId="2" fillId="0" borderId="10" xfId="0" applyFont="1" applyFill="1" applyBorder="1" applyAlignment="1">
      <alignment horizontal="right" vertical="top"/>
    </xf>
    <xf numFmtId="3" fontId="1" fillId="0" borderId="10" xfId="0" applyNumberFormat="1" applyFont="1" applyFill="1" applyBorder="1" applyAlignment="1">
      <alignment horizontal="right" vertical="top"/>
    </xf>
    <xf numFmtId="0" fontId="1" fillId="0" borderId="10" xfId="0" applyFont="1" applyFill="1" applyBorder="1" applyAlignment="1">
      <alignment horizontal="right" vertical="top" wrapText="1"/>
    </xf>
    <xf numFmtId="0" fontId="2" fillId="0" borderId="10" xfId="50" applyNumberFormat="1" applyFont="1" applyFill="1" applyBorder="1" applyAlignment="1">
      <alignment horizontal="right" vertical="top"/>
    </xf>
    <xf numFmtId="0" fontId="1" fillId="0" borderId="10" xfId="50" applyNumberFormat="1" applyFont="1" applyFill="1" applyBorder="1" applyAlignment="1">
      <alignment horizontal="right" vertical="top"/>
    </xf>
    <xf numFmtId="0" fontId="1" fillId="0" borderId="10" xfId="50" applyNumberFormat="1" applyFont="1" applyFill="1" applyBorder="1" applyAlignment="1">
      <alignment horizontal="right" vertical="top" wrapText="1"/>
    </xf>
    <xf numFmtId="0" fontId="2" fillId="0" borderId="10" xfId="0" applyFont="1" applyFill="1" applyBorder="1" applyAlignment="1">
      <alignment horizontal="left" vertical="top"/>
    </xf>
    <xf numFmtId="0" fontId="1" fillId="0" borderId="10" xfId="0" applyFont="1" applyFill="1" applyBorder="1" applyAlignment="1">
      <alignment horizontal="left" vertical="top" wrapText="1"/>
    </xf>
    <xf numFmtId="3" fontId="1" fillId="0" borderId="10" xfId="50" applyNumberFormat="1" applyFont="1" applyFill="1" applyBorder="1" applyAlignment="1">
      <alignment horizontal="left" vertical="top" wrapText="1"/>
    </xf>
    <xf numFmtId="190" fontId="1" fillId="0" borderId="10" xfId="50" applyNumberFormat="1" applyFont="1" applyFill="1" applyBorder="1" applyAlignment="1">
      <alignment horizontal="left" vertical="top"/>
    </xf>
    <xf numFmtId="0" fontId="1" fillId="0" borderId="10" xfId="0" applyFont="1" applyFill="1" applyBorder="1" applyAlignment="1">
      <alignment horizontal="left" vertical="center" wrapText="1"/>
    </xf>
    <xf numFmtId="3" fontId="1" fillId="0" borderId="10" xfId="0" applyNumberFormat="1" applyFont="1" applyFill="1" applyBorder="1" applyAlignment="1">
      <alignment horizontal="left" vertical="top"/>
    </xf>
    <xf numFmtId="0" fontId="7"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3" fontId="1" fillId="0" borderId="10" xfId="0" applyNumberFormat="1" applyFont="1" applyFill="1" applyBorder="1" applyAlignment="1">
      <alignment horizontal="right" vertical="center"/>
    </xf>
    <xf numFmtId="0" fontId="1" fillId="0" borderId="10" xfId="0" applyFont="1" applyFill="1" applyBorder="1" applyAlignment="1" applyProtection="1">
      <alignment horizontal="center" vertical="center"/>
      <protection locked="0"/>
    </xf>
    <xf numFmtId="190" fontId="1" fillId="0" borderId="10" xfId="50" applyNumberFormat="1" applyFont="1" applyFill="1" applyBorder="1" applyAlignment="1" applyProtection="1">
      <alignment horizontal="right" vertical="center"/>
      <protection locked="0"/>
    </xf>
    <xf numFmtId="0" fontId="2" fillId="0" borderId="10" xfId="0" applyFont="1" applyFill="1" applyBorder="1" applyAlignment="1">
      <alignment horizontal="justify" vertical="top"/>
    </xf>
    <xf numFmtId="0" fontId="2" fillId="0" borderId="10" xfId="0" applyFont="1" applyFill="1" applyBorder="1" applyAlignment="1">
      <alignment/>
    </xf>
    <xf numFmtId="190" fontId="2" fillId="0" borderId="10" xfId="50" applyNumberFormat="1" applyFont="1" applyFill="1" applyBorder="1" applyAlignment="1">
      <alignment horizontal="right"/>
    </xf>
    <xf numFmtId="0" fontId="1" fillId="0" borderId="10" xfId="0" applyFont="1" applyFill="1" applyBorder="1" applyAlignment="1">
      <alignment/>
    </xf>
    <xf numFmtId="0" fontId="2" fillId="0" borderId="10" xfId="0" applyFont="1" applyFill="1" applyBorder="1" applyAlignment="1">
      <alignment horizontal="center"/>
    </xf>
    <xf numFmtId="1" fontId="1" fillId="0" borderId="10" xfId="0" applyNumberFormat="1" applyFont="1" applyFill="1" applyBorder="1" applyAlignment="1">
      <alignment horizontal="center" vertical="center"/>
    </xf>
    <xf numFmtId="0" fontId="1" fillId="0" borderId="11" xfId="0" applyFont="1" applyFill="1" applyBorder="1" applyAlignment="1">
      <alignment horizontal="center"/>
    </xf>
    <xf numFmtId="0" fontId="1" fillId="0" borderId="11" xfId="0" applyFont="1" applyFill="1" applyBorder="1" applyAlignment="1">
      <alignment/>
    </xf>
    <xf numFmtId="190" fontId="1" fillId="0" borderId="11" xfId="50" applyNumberFormat="1" applyFont="1" applyFill="1" applyBorder="1" applyAlignment="1">
      <alignment horizontal="right"/>
    </xf>
    <xf numFmtId="0" fontId="2" fillId="32" borderId="10" xfId="0" applyFont="1" applyFill="1" applyBorder="1" applyAlignment="1">
      <alignment horizontal="left" vertical="top"/>
    </xf>
    <xf numFmtId="0" fontId="2" fillId="32" borderId="10" xfId="0" applyFont="1" applyFill="1" applyBorder="1" applyAlignment="1">
      <alignment horizontal="justify" vertical="top" wrapText="1"/>
    </xf>
    <xf numFmtId="190" fontId="2" fillId="32" borderId="10" xfId="50" applyNumberFormat="1" applyFont="1" applyFill="1" applyBorder="1" applyAlignment="1">
      <alignment horizontal="right" vertical="top"/>
    </xf>
    <xf numFmtId="0" fontId="1" fillId="32" borderId="0" xfId="0" applyFont="1" applyFill="1" applyAlignment="1">
      <alignment horizontal="justify" vertical="top"/>
    </xf>
    <xf numFmtId="3" fontId="2" fillId="32" borderId="10" xfId="0" applyNumberFormat="1" applyFont="1" applyFill="1" applyBorder="1" applyAlignment="1">
      <alignment horizontal="center" vertical="top"/>
    </xf>
    <xf numFmtId="0" fontId="2" fillId="32" borderId="10" xfId="50" applyNumberFormat="1" applyFont="1" applyFill="1" applyBorder="1" applyAlignment="1">
      <alignment horizontal="right" vertical="top"/>
    </xf>
    <xf numFmtId="0" fontId="2" fillId="32" borderId="10" xfId="0" applyFont="1" applyFill="1" applyBorder="1" applyAlignment="1">
      <alignment horizontal="center" vertical="top"/>
    </xf>
    <xf numFmtId="0" fontId="2" fillId="33" borderId="10" xfId="0" applyFont="1" applyFill="1" applyBorder="1" applyAlignment="1">
      <alignment horizontal="left" vertical="top"/>
    </xf>
    <xf numFmtId="0" fontId="2" fillId="33" borderId="10" xfId="0" applyFont="1" applyFill="1" applyBorder="1" applyAlignment="1">
      <alignment horizontal="justify" vertical="top" wrapText="1"/>
    </xf>
    <xf numFmtId="190" fontId="2" fillId="33" borderId="10" xfId="50" applyNumberFormat="1" applyFont="1" applyFill="1" applyBorder="1" applyAlignment="1">
      <alignment horizontal="right" vertical="top"/>
    </xf>
    <xf numFmtId="0" fontId="1" fillId="33" borderId="0" xfId="0" applyFont="1" applyFill="1" applyAlignment="1">
      <alignment horizontal="justify" vertical="top"/>
    </xf>
    <xf numFmtId="3" fontId="2" fillId="33" borderId="10" xfId="0" applyNumberFormat="1" applyFont="1" applyFill="1" applyBorder="1" applyAlignment="1">
      <alignment horizontal="center" vertical="top"/>
    </xf>
    <xf numFmtId="0" fontId="2" fillId="33" borderId="10" xfId="50" applyNumberFormat="1" applyFont="1" applyFill="1" applyBorder="1" applyAlignment="1">
      <alignment horizontal="right" vertical="top"/>
    </xf>
    <xf numFmtId="0" fontId="2" fillId="33" borderId="10" xfId="0" applyFont="1" applyFill="1" applyBorder="1" applyAlignment="1">
      <alignment horizontal="center" vertical="top"/>
    </xf>
    <xf numFmtId="3" fontId="5" fillId="34" borderId="10" xfId="0" applyNumberFormat="1" applyFont="1" applyFill="1" applyBorder="1" applyAlignment="1">
      <alignment horizontal="center" vertical="top"/>
    </xf>
    <xf numFmtId="0" fontId="2" fillId="34" borderId="10" xfId="0" applyFont="1" applyFill="1" applyBorder="1" applyAlignment="1">
      <alignment horizontal="left" vertical="top"/>
    </xf>
    <xf numFmtId="0" fontId="2" fillId="34" borderId="10" xfId="0" applyFont="1" applyFill="1" applyBorder="1" applyAlignment="1">
      <alignment horizontal="justify" vertical="top" wrapText="1"/>
    </xf>
    <xf numFmtId="190" fontId="5" fillId="34" borderId="10" xfId="50" applyNumberFormat="1" applyFont="1" applyFill="1" applyBorder="1" applyAlignment="1">
      <alignment horizontal="right" vertical="top"/>
    </xf>
    <xf numFmtId="190" fontId="2" fillId="34" borderId="10" xfId="50" applyNumberFormat="1" applyFont="1" applyFill="1" applyBorder="1" applyAlignment="1">
      <alignment horizontal="right" vertical="top"/>
    </xf>
    <xf numFmtId="3" fontId="2" fillId="34" borderId="10" xfId="50" applyNumberFormat="1" applyFont="1" applyFill="1" applyBorder="1" applyAlignment="1">
      <alignment horizontal="right" vertical="top"/>
    </xf>
    <xf numFmtId="190" fontId="5" fillId="34" borderId="10" xfId="0" applyNumberFormat="1" applyFont="1" applyFill="1" applyBorder="1" applyAlignment="1">
      <alignment horizontal="center" vertical="top"/>
    </xf>
    <xf numFmtId="0" fontId="5" fillId="34" borderId="10" xfId="0" applyFont="1" applyFill="1" applyBorder="1" applyAlignment="1">
      <alignment horizontal="center" vertical="top"/>
    </xf>
    <xf numFmtId="0" fontId="1" fillId="34" borderId="0" xfId="0" applyFont="1" applyFill="1" applyAlignment="1">
      <alignment horizontal="justify" vertical="top"/>
    </xf>
    <xf numFmtId="190" fontId="2" fillId="33" borderId="10" xfId="50" applyNumberFormat="1" applyFont="1" applyFill="1" applyBorder="1" applyAlignment="1">
      <alignment horizontal="right" vertical="top" wrapText="1"/>
    </xf>
    <xf numFmtId="0" fontId="1" fillId="35" borderId="10" xfId="0" applyFont="1" applyFill="1" applyBorder="1" applyAlignment="1">
      <alignment horizontal="center" vertical="top"/>
    </xf>
    <xf numFmtId="3" fontId="1" fillId="35" borderId="10" xfId="0" applyNumberFormat="1" applyFont="1" applyFill="1" applyBorder="1" applyAlignment="1">
      <alignment horizontal="center" vertical="top"/>
    </xf>
    <xf numFmtId="0" fontId="1" fillId="35" borderId="10" xfId="0" applyFont="1" applyFill="1" applyBorder="1" applyAlignment="1">
      <alignment horizontal="left" vertical="top"/>
    </xf>
    <xf numFmtId="0" fontId="2" fillId="35" borderId="10" xfId="0" applyFont="1" applyFill="1" applyBorder="1" applyAlignment="1">
      <alignment horizontal="justify" vertical="top" wrapText="1"/>
    </xf>
    <xf numFmtId="190" fontId="1" fillId="35" borderId="10" xfId="50" applyNumberFormat="1" applyFont="1" applyFill="1" applyBorder="1" applyAlignment="1">
      <alignment horizontal="right" vertical="top"/>
    </xf>
    <xf numFmtId="190" fontId="2" fillId="35" borderId="10" xfId="50" applyNumberFormat="1" applyFont="1" applyFill="1" applyBorder="1" applyAlignment="1">
      <alignment horizontal="right" vertical="top"/>
    </xf>
    <xf numFmtId="0" fontId="1" fillId="35" borderId="10" xfId="0" applyFont="1" applyFill="1" applyBorder="1" applyAlignment="1">
      <alignment horizontal="right" vertical="top"/>
    </xf>
    <xf numFmtId="0" fontId="1" fillId="35" borderId="0" xfId="0" applyFont="1" applyFill="1" applyAlignment="1">
      <alignment horizontal="justify" vertical="top"/>
    </xf>
    <xf numFmtId="0" fontId="1" fillId="35" borderId="10" xfId="0" applyFont="1" applyFill="1" applyBorder="1" applyAlignment="1">
      <alignment horizontal="center" vertical="center"/>
    </xf>
    <xf numFmtId="0" fontId="1" fillId="35" borderId="10" xfId="0" applyFont="1" applyFill="1" applyBorder="1" applyAlignment="1">
      <alignment horizontal="center"/>
    </xf>
    <xf numFmtId="0" fontId="2" fillId="35" borderId="10" xfId="0" applyFont="1" applyFill="1" applyBorder="1" applyAlignment="1">
      <alignment horizontal="justify" vertical="top"/>
    </xf>
    <xf numFmtId="0" fontId="1" fillId="35" borderId="10" xfId="0" applyFont="1" applyFill="1" applyBorder="1" applyAlignment="1">
      <alignment horizontal="left"/>
    </xf>
    <xf numFmtId="0" fontId="2" fillId="35" borderId="10" xfId="0" applyFont="1" applyFill="1" applyBorder="1" applyAlignment="1">
      <alignment/>
    </xf>
    <xf numFmtId="190" fontId="1" fillId="35" borderId="10" xfId="50" applyNumberFormat="1" applyFont="1" applyFill="1" applyBorder="1" applyAlignment="1">
      <alignment horizontal="right"/>
    </xf>
    <xf numFmtId="3" fontId="2" fillId="35" borderId="10" xfId="0" applyNumberFormat="1" applyFont="1" applyFill="1" applyBorder="1" applyAlignment="1">
      <alignment horizontal="right"/>
    </xf>
    <xf numFmtId="0" fontId="2" fillId="35" borderId="10" xfId="0" applyFont="1" applyFill="1" applyBorder="1" applyAlignment="1">
      <alignment horizontal="right" vertical="center" wrapText="1"/>
    </xf>
    <xf numFmtId="0" fontId="2" fillId="35" borderId="10" xfId="0" applyFont="1" applyFill="1" applyBorder="1" applyAlignment="1">
      <alignment horizontal="center" vertical="center" wrapText="1"/>
    </xf>
    <xf numFmtId="0" fontId="1" fillId="33" borderId="10" xfId="0" applyFont="1" applyFill="1" applyBorder="1" applyAlignment="1">
      <alignment horizontal="center" vertical="center"/>
    </xf>
    <xf numFmtId="3" fontId="1" fillId="33" borderId="10" xfId="0" applyNumberFormat="1" applyFont="1" applyFill="1" applyBorder="1" applyAlignment="1">
      <alignment horizontal="center"/>
    </xf>
    <xf numFmtId="0" fontId="1" fillId="33" borderId="10" xfId="0" applyFont="1" applyFill="1" applyBorder="1" applyAlignment="1">
      <alignment horizontal="left" vertical="center"/>
    </xf>
    <xf numFmtId="0" fontId="2" fillId="33" borderId="10" xfId="0" applyFont="1" applyFill="1" applyBorder="1" applyAlignment="1">
      <alignment vertical="center" wrapText="1"/>
    </xf>
    <xf numFmtId="3" fontId="1" fillId="33" borderId="10" xfId="50" applyNumberFormat="1" applyFont="1" applyFill="1" applyBorder="1" applyAlignment="1">
      <alignment horizontal="right" vertical="center"/>
    </xf>
    <xf numFmtId="3" fontId="2" fillId="33" borderId="10" xfId="50" applyNumberFormat="1" applyFont="1" applyFill="1" applyBorder="1" applyAlignment="1">
      <alignment horizontal="right" vertical="center"/>
    </xf>
    <xf numFmtId="0" fontId="1" fillId="33" borderId="10" xfId="0" applyFont="1" applyFill="1" applyBorder="1" applyAlignment="1">
      <alignment horizontal="right" vertical="center" wrapText="1"/>
    </xf>
    <xf numFmtId="3" fontId="2" fillId="35" borderId="10" xfId="0" applyNumberFormat="1" applyFont="1" applyFill="1" applyBorder="1" applyAlignment="1">
      <alignment horizontal="center" vertical="top"/>
    </xf>
    <xf numFmtId="0" fontId="2" fillId="35" borderId="10" xfId="0" applyFont="1" applyFill="1" applyBorder="1" applyAlignment="1">
      <alignment horizontal="left" vertical="top"/>
    </xf>
    <xf numFmtId="0" fontId="2" fillId="35" borderId="10" xfId="0" applyFont="1" applyFill="1" applyBorder="1" applyAlignment="1">
      <alignment horizontal="center" vertical="top"/>
    </xf>
    <xf numFmtId="0" fontId="2" fillId="35" borderId="10" xfId="50" applyNumberFormat="1" applyFont="1" applyFill="1" applyBorder="1" applyAlignment="1">
      <alignment horizontal="right" vertical="top"/>
    </xf>
    <xf numFmtId="0" fontId="1" fillId="34" borderId="10" xfId="0" applyFont="1" applyFill="1" applyBorder="1" applyAlignment="1">
      <alignment horizontal="center" vertical="top"/>
    </xf>
    <xf numFmtId="3" fontId="1" fillId="34" borderId="10" xfId="0" applyNumberFormat="1" applyFont="1" applyFill="1" applyBorder="1" applyAlignment="1">
      <alignment horizontal="center" vertical="top"/>
    </xf>
    <xf numFmtId="0" fontId="1" fillId="34" borderId="10" xfId="0" applyFont="1" applyFill="1" applyBorder="1" applyAlignment="1">
      <alignment horizontal="left" vertical="top"/>
    </xf>
    <xf numFmtId="190" fontId="1" fillId="34" borderId="10" xfId="50" applyNumberFormat="1" applyFont="1" applyFill="1" applyBorder="1" applyAlignment="1">
      <alignment horizontal="right" vertical="top"/>
    </xf>
    <xf numFmtId="3" fontId="1" fillId="34" borderId="10" xfId="0" applyNumberFormat="1" applyFont="1" applyFill="1" applyBorder="1" applyAlignment="1">
      <alignment horizontal="right" vertical="top"/>
    </xf>
    <xf numFmtId="0" fontId="10" fillId="0" borderId="0" xfId="0" applyFont="1" applyFill="1" applyAlignment="1">
      <alignment/>
    </xf>
    <xf numFmtId="0" fontId="1" fillId="12" borderId="0" xfId="0" applyFont="1" applyFill="1" applyAlignment="1">
      <alignment horizontal="justify" vertical="top"/>
    </xf>
    <xf numFmtId="0" fontId="1" fillId="12" borderId="10" xfId="0" applyFont="1" applyFill="1" applyBorder="1" applyAlignment="1">
      <alignment horizontal="justify" vertical="top" wrapText="1"/>
    </xf>
    <xf numFmtId="0" fontId="1" fillId="12" borderId="10" xfId="0" applyFont="1" applyFill="1" applyBorder="1" applyAlignment="1">
      <alignment horizontal="center" vertical="top"/>
    </xf>
    <xf numFmtId="3" fontId="1" fillId="12" borderId="10" xfId="0" applyNumberFormat="1" applyFont="1" applyFill="1" applyBorder="1" applyAlignment="1">
      <alignment horizontal="right" vertical="top"/>
    </xf>
    <xf numFmtId="3" fontId="1" fillId="12" borderId="10" xfId="0" applyNumberFormat="1" applyFont="1" applyFill="1" applyBorder="1" applyAlignment="1">
      <alignment horizontal="center" vertical="top"/>
    </xf>
    <xf numFmtId="0" fontId="1" fillId="12" borderId="10" xfId="0" applyFont="1" applyFill="1" applyBorder="1" applyAlignment="1">
      <alignment horizontal="left" vertical="top"/>
    </xf>
    <xf numFmtId="190" fontId="1" fillId="12" borderId="10" xfId="50" applyNumberFormat="1" applyFont="1" applyFill="1" applyBorder="1" applyAlignment="1">
      <alignment horizontal="right" vertical="top"/>
    </xf>
    <xf numFmtId="190" fontId="1" fillId="12" borderId="10" xfId="0" applyNumberFormat="1" applyFont="1" applyFill="1" applyBorder="1" applyAlignment="1">
      <alignment horizontal="right" vertical="top"/>
    </xf>
    <xf numFmtId="2" fontId="2" fillId="12" borderId="10" xfId="0" applyNumberFormat="1" applyFont="1" applyFill="1" applyBorder="1" applyAlignment="1">
      <alignment horizontal="justify" vertical="top" wrapText="1"/>
    </xf>
    <xf numFmtId="0" fontId="2" fillId="12" borderId="10" xfId="0" applyFont="1" applyFill="1" applyBorder="1" applyAlignment="1">
      <alignment horizontal="center" vertical="top"/>
    </xf>
    <xf numFmtId="3" fontId="2" fillId="12" borderId="10" xfId="0" applyNumberFormat="1" applyFont="1" applyFill="1" applyBorder="1" applyAlignment="1">
      <alignment horizontal="right" vertical="top"/>
    </xf>
    <xf numFmtId="3" fontId="2" fillId="12" borderId="10" xfId="0" applyNumberFormat="1" applyFont="1" applyFill="1" applyBorder="1" applyAlignment="1">
      <alignment horizontal="center" vertical="top"/>
    </xf>
    <xf numFmtId="0" fontId="2" fillId="12" borderId="10" xfId="0" applyFont="1" applyFill="1" applyBorder="1" applyAlignment="1">
      <alignment horizontal="left" vertical="top"/>
    </xf>
    <xf numFmtId="190" fontId="2" fillId="12" borderId="10" xfId="50" applyNumberFormat="1" applyFont="1" applyFill="1" applyBorder="1" applyAlignment="1">
      <alignment horizontal="right" vertical="top"/>
    </xf>
    <xf numFmtId="0" fontId="2" fillId="12" borderId="10" xfId="0" applyFont="1" applyFill="1" applyBorder="1" applyAlignment="1">
      <alignment horizontal="center" vertical="top" wrapText="1"/>
    </xf>
    <xf numFmtId="0" fontId="1" fillId="12" borderId="10" xfId="0" applyFont="1" applyFill="1" applyBorder="1" applyAlignment="1">
      <alignment horizontal="center" vertical="top" wrapText="1"/>
    </xf>
    <xf numFmtId="0" fontId="1" fillId="34" borderId="10" xfId="0" applyFont="1" applyFill="1" applyBorder="1" applyAlignment="1">
      <alignment horizontal="justify" vertical="top"/>
    </xf>
    <xf numFmtId="0" fontId="1" fillId="32" borderId="10" xfId="0" applyFont="1" applyFill="1" applyBorder="1" applyAlignment="1">
      <alignment horizontal="justify" vertical="top"/>
    </xf>
    <xf numFmtId="0" fontId="1" fillId="33" borderId="10" xfId="0" applyFont="1" applyFill="1" applyBorder="1" applyAlignment="1">
      <alignment horizontal="justify" vertical="top"/>
    </xf>
    <xf numFmtId="0" fontId="1" fillId="35" borderId="10" xfId="0" applyFont="1" applyFill="1" applyBorder="1" applyAlignment="1">
      <alignment horizontal="justify" vertical="top"/>
    </xf>
    <xf numFmtId="0" fontId="1" fillId="12" borderId="10" xfId="0" applyFont="1" applyFill="1" applyBorder="1" applyAlignment="1">
      <alignment horizontal="justify" vertical="top"/>
    </xf>
    <xf numFmtId="0" fontId="2" fillId="12" borderId="10" xfId="0" applyFont="1" applyFill="1" applyBorder="1" applyAlignment="1">
      <alignment horizontal="justify" vertical="top"/>
    </xf>
    <xf numFmtId="2" fontId="2" fillId="12" borderId="10" xfId="0" applyNumberFormat="1" applyFont="1" applyFill="1" applyBorder="1" applyAlignment="1">
      <alignment wrapText="1"/>
    </xf>
    <xf numFmtId="0" fontId="1" fillId="12" borderId="10" xfId="0" applyFont="1" applyFill="1" applyBorder="1" applyAlignment="1">
      <alignment horizontal="center" vertical="center"/>
    </xf>
    <xf numFmtId="0" fontId="1" fillId="12" borderId="10" xfId="0" applyFont="1" applyFill="1" applyBorder="1" applyAlignment="1">
      <alignment horizontal="right" vertical="center" wrapText="1"/>
    </xf>
    <xf numFmtId="3" fontId="1" fillId="12" borderId="10" xfId="0" applyNumberFormat="1" applyFont="1" applyFill="1" applyBorder="1" applyAlignment="1">
      <alignment horizontal="center" vertical="center"/>
    </xf>
    <xf numFmtId="0" fontId="1" fillId="12" borderId="10" xfId="0" applyFont="1" applyFill="1" applyBorder="1" applyAlignment="1">
      <alignment horizontal="left" vertical="center"/>
    </xf>
    <xf numFmtId="190" fontId="1" fillId="12" borderId="10" xfId="50" applyNumberFormat="1" applyFont="1" applyFill="1" applyBorder="1" applyAlignment="1">
      <alignment horizontal="right"/>
    </xf>
    <xf numFmtId="3" fontId="2" fillId="12" borderId="10" xfId="0" applyNumberFormat="1" applyFont="1" applyFill="1" applyBorder="1" applyAlignment="1">
      <alignment horizontal="right"/>
    </xf>
    <xf numFmtId="0" fontId="1" fillId="12" borderId="10" xfId="0" applyFont="1" applyFill="1" applyBorder="1" applyAlignment="1">
      <alignment horizontal="center" vertical="center" wrapText="1"/>
    </xf>
    <xf numFmtId="0" fontId="1" fillId="12" borderId="10" xfId="0" applyFont="1" applyFill="1" applyBorder="1" applyAlignment="1">
      <alignment horizontal="right"/>
    </xf>
    <xf numFmtId="3" fontId="1" fillId="12" borderId="10" xfId="0" applyNumberFormat="1" applyFont="1" applyFill="1" applyBorder="1" applyAlignment="1">
      <alignment horizontal="center"/>
    </xf>
    <xf numFmtId="0" fontId="11" fillId="0" borderId="10" xfId="0" applyFont="1" applyFill="1" applyBorder="1" applyAlignment="1">
      <alignment horizontal="left" vertical="top"/>
    </xf>
    <xf numFmtId="0" fontId="2" fillId="12" borderId="10" xfId="0" applyFont="1" applyFill="1" applyBorder="1" applyAlignment="1">
      <alignment horizontal="justify" vertical="top" wrapText="1"/>
    </xf>
    <xf numFmtId="0" fontId="2" fillId="12" borderId="10" xfId="50" applyNumberFormat="1" applyFont="1" applyFill="1" applyBorder="1" applyAlignment="1">
      <alignment horizontal="right" vertical="top"/>
    </xf>
    <xf numFmtId="0" fontId="1" fillId="36" borderId="10" xfId="0" applyFont="1" applyFill="1" applyBorder="1" applyAlignment="1">
      <alignment horizontal="justify" vertical="top"/>
    </xf>
    <xf numFmtId="0" fontId="2" fillId="36" borderId="10" xfId="0" applyFont="1" applyFill="1" applyBorder="1" applyAlignment="1">
      <alignment horizontal="justify" vertical="top" wrapText="1"/>
    </xf>
    <xf numFmtId="3" fontId="2" fillId="36" borderId="10" xfId="0" applyNumberFormat="1" applyFont="1" applyFill="1" applyBorder="1" applyAlignment="1">
      <alignment horizontal="center" vertical="top"/>
    </xf>
    <xf numFmtId="0" fontId="2" fillId="36" borderId="10" xfId="50" applyNumberFormat="1" applyFont="1" applyFill="1" applyBorder="1" applyAlignment="1">
      <alignment horizontal="right" vertical="top"/>
    </xf>
    <xf numFmtId="0" fontId="2" fillId="36" borderId="10" xfId="0" applyFont="1" applyFill="1" applyBorder="1" applyAlignment="1">
      <alignment horizontal="left" vertical="top"/>
    </xf>
    <xf numFmtId="190" fontId="2" fillId="36" borderId="10" xfId="50" applyNumberFormat="1" applyFont="1" applyFill="1" applyBorder="1" applyAlignment="1">
      <alignment horizontal="right" vertical="top"/>
    </xf>
    <xf numFmtId="0" fontId="2" fillId="36" borderId="10" xfId="0" applyFont="1" applyFill="1" applyBorder="1" applyAlignment="1">
      <alignment horizontal="center" vertical="top"/>
    </xf>
    <xf numFmtId="0" fontId="1" fillId="36" borderId="0" xfId="0" applyFont="1" applyFill="1" applyAlignment="1">
      <alignment horizontal="justify" vertical="top"/>
    </xf>
    <xf numFmtId="0" fontId="2" fillId="12" borderId="10" xfId="0" applyFont="1" applyFill="1" applyBorder="1" applyAlignment="1">
      <alignment horizontal="right" vertical="top"/>
    </xf>
    <xf numFmtId="190" fontId="2" fillId="12" borderId="10" xfId="50" applyNumberFormat="1" applyFont="1" applyFill="1" applyBorder="1" applyAlignment="1">
      <alignment horizontal="right"/>
    </xf>
    <xf numFmtId="3" fontId="1" fillId="12" borderId="10" xfId="0" applyNumberFormat="1" applyFont="1" applyFill="1" applyBorder="1" applyAlignment="1">
      <alignment horizontal="right" vertical="top" wrapText="1"/>
    </xf>
    <xf numFmtId="190" fontId="6" fillId="12" borderId="10" xfId="50" applyNumberFormat="1" applyFont="1" applyFill="1" applyBorder="1" applyAlignment="1">
      <alignment horizontal="right" vertical="top"/>
    </xf>
    <xf numFmtId="0" fontId="7" fillId="37" borderId="10" xfId="0" applyFont="1" applyFill="1" applyBorder="1" applyAlignment="1">
      <alignment horizontal="justify" vertical="top" wrapText="1"/>
    </xf>
    <xf numFmtId="0" fontId="3" fillId="37" borderId="10" xfId="0" applyFont="1" applyFill="1" applyBorder="1" applyAlignment="1">
      <alignment horizontal="justify" vertical="top" wrapText="1"/>
    </xf>
    <xf numFmtId="0" fontId="3" fillId="37" borderId="10" xfId="0" applyFont="1" applyFill="1" applyBorder="1" applyAlignment="1">
      <alignment horizontal="center" vertical="top" wrapText="1"/>
    </xf>
    <xf numFmtId="0" fontId="3" fillId="37" borderId="10" xfId="50" applyNumberFormat="1" applyFont="1" applyFill="1" applyBorder="1" applyAlignment="1">
      <alignment horizontal="right" vertical="top" wrapText="1"/>
    </xf>
    <xf numFmtId="3" fontId="3" fillId="37" borderId="10" xfId="0" applyNumberFormat="1" applyFont="1" applyFill="1" applyBorder="1" applyAlignment="1">
      <alignment horizontal="center" vertical="top" wrapText="1"/>
    </xf>
    <xf numFmtId="0" fontId="3" fillId="37" borderId="10" xfId="0" applyFont="1" applyFill="1" applyBorder="1" applyAlignment="1">
      <alignment horizontal="left" vertical="top" wrapText="1"/>
    </xf>
    <xf numFmtId="190" fontId="3" fillId="37" borderId="10" xfId="50" applyNumberFormat="1" applyFont="1" applyFill="1" applyBorder="1" applyAlignment="1">
      <alignment horizontal="right" vertical="top" wrapText="1"/>
    </xf>
    <xf numFmtId="190" fontId="3" fillId="37" borderId="10" xfId="50" applyNumberFormat="1" applyFont="1" applyFill="1" applyBorder="1" applyAlignment="1">
      <alignment horizontal="right" vertical="top"/>
    </xf>
    <xf numFmtId="0" fontId="7" fillId="37" borderId="0" xfId="0" applyFont="1" applyFill="1" applyAlignment="1">
      <alignment horizontal="justify" vertical="top" wrapText="1"/>
    </xf>
    <xf numFmtId="0" fontId="1" fillId="12" borderId="10" xfId="0" applyNumberFormat="1" applyFont="1" applyFill="1" applyBorder="1" applyAlignment="1">
      <alignment horizontal="right" vertical="top" wrapText="1"/>
    </xf>
    <xf numFmtId="3" fontId="1" fillId="12" borderId="10" xfId="0" applyNumberFormat="1" applyFont="1" applyFill="1" applyBorder="1" applyAlignment="1">
      <alignment horizontal="center" vertical="top" wrapText="1"/>
    </xf>
    <xf numFmtId="0" fontId="1" fillId="12" borderId="10" xfId="0" applyFont="1" applyFill="1" applyBorder="1" applyAlignment="1">
      <alignment horizontal="left" vertical="top" wrapText="1"/>
    </xf>
    <xf numFmtId="190" fontId="6" fillId="12" borderId="10" xfId="50" applyNumberFormat="1" applyFont="1" applyFill="1" applyBorder="1" applyAlignment="1">
      <alignment horizontal="right" vertical="top" wrapText="1"/>
    </xf>
    <xf numFmtId="0" fontId="1" fillId="12" borderId="0" xfId="0" applyFont="1" applyFill="1" applyAlignment="1">
      <alignment horizontal="justify" vertical="top" wrapText="1"/>
    </xf>
    <xf numFmtId="0" fontId="1" fillId="12" borderId="10" xfId="50" applyNumberFormat="1" applyFont="1" applyFill="1" applyBorder="1" applyAlignment="1">
      <alignment horizontal="right" vertical="top" wrapText="1"/>
    </xf>
    <xf numFmtId="190" fontId="8" fillId="12" borderId="10" xfId="50" applyNumberFormat="1" applyFont="1" applyFill="1" applyBorder="1" applyAlignment="1">
      <alignment horizontal="right" vertical="top" wrapText="1"/>
    </xf>
    <xf numFmtId="0" fontId="2" fillId="12" borderId="10" xfId="50" applyNumberFormat="1" applyFont="1" applyFill="1" applyBorder="1" applyAlignment="1">
      <alignment horizontal="right" vertical="top" wrapText="1"/>
    </xf>
    <xf numFmtId="190" fontId="1" fillId="12" borderId="10" xfId="50" applyNumberFormat="1" applyFont="1" applyFill="1" applyBorder="1" applyAlignment="1">
      <alignment horizontal="right" vertical="top" wrapText="1"/>
    </xf>
    <xf numFmtId="0" fontId="2" fillId="12" borderId="10" xfId="0" applyFont="1" applyFill="1" applyBorder="1" applyAlignment="1">
      <alignment horizontal="right" vertical="top" wrapText="1"/>
    </xf>
    <xf numFmtId="3" fontId="2" fillId="12" borderId="10" xfId="0" applyNumberFormat="1" applyFont="1" applyFill="1" applyBorder="1" applyAlignment="1">
      <alignment horizontal="center" vertical="top" wrapText="1"/>
    </xf>
    <xf numFmtId="3" fontId="2" fillId="12" borderId="10" xfId="50" applyNumberFormat="1" applyFont="1" applyFill="1" applyBorder="1" applyAlignment="1">
      <alignment horizontal="left" vertical="top" wrapText="1"/>
    </xf>
    <xf numFmtId="3" fontId="2" fillId="12" borderId="10" xfId="50" applyNumberFormat="1" applyFont="1" applyFill="1" applyBorder="1" applyAlignment="1">
      <alignment horizontal="right" vertical="top" wrapText="1"/>
    </xf>
    <xf numFmtId="0" fontId="2" fillId="12" borderId="0" xfId="0" applyFont="1" applyFill="1" applyAlignment="1">
      <alignment horizontal="justify" vertical="top" wrapText="1"/>
    </xf>
    <xf numFmtId="0" fontId="1" fillId="36" borderId="10" xfId="0" applyFont="1" applyFill="1" applyBorder="1" applyAlignment="1">
      <alignment horizontal="justify" vertical="top" wrapText="1"/>
    </xf>
    <xf numFmtId="0" fontId="2" fillId="36" borderId="10" xfId="0" applyFont="1" applyFill="1" applyBorder="1" applyAlignment="1">
      <alignment horizontal="center" vertical="top" wrapText="1"/>
    </xf>
    <xf numFmtId="0" fontId="2" fillId="36" borderId="10" xfId="50" applyNumberFormat="1" applyFont="1" applyFill="1" applyBorder="1" applyAlignment="1">
      <alignment horizontal="right" vertical="top" wrapText="1"/>
    </xf>
    <xf numFmtId="3" fontId="2" fillId="36" borderId="10" xfId="0" applyNumberFormat="1" applyFont="1" applyFill="1" applyBorder="1" applyAlignment="1">
      <alignment horizontal="center" vertical="top" wrapText="1"/>
    </xf>
    <xf numFmtId="0" fontId="2" fillId="36" borderId="10" xfId="0" applyFont="1" applyFill="1" applyBorder="1" applyAlignment="1">
      <alignment horizontal="left" vertical="top" wrapText="1"/>
    </xf>
    <xf numFmtId="190" fontId="2" fillId="36" borderId="10" xfId="50" applyNumberFormat="1" applyFont="1" applyFill="1" applyBorder="1" applyAlignment="1">
      <alignment horizontal="right" vertical="top" wrapText="1"/>
    </xf>
    <xf numFmtId="0" fontId="1" fillId="36" borderId="0" xfId="0" applyFont="1" applyFill="1" applyAlignment="1">
      <alignment horizontal="justify" vertical="top" wrapText="1"/>
    </xf>
    <xf numFmtId="3" fontId="1" fillId="36" borderId="10" xfId="0" applyNumberFormat="1" applyFont="1" applyFill="1" applyBorder="1" applyAlignment="1">
      <alignment horizontal="center" vertical="top"/>
    </xf>
    <xf numFmtId="0" fontId="1" fillId="36" borderId="10" xfId="0" applyFont="1" applyFill="1" applyBorder="1" applyAlignment="1">
      <alignment horizontal="left" vertical="top"/>
    </xf>
    <xf numFmtId="190" fontId="1" fillId="36" borderId="10" xfId="50" applyNumberFormat="1" applyFont="1" applyFill="1" applyBorder="1" applyAlignment="1">
      <alignment horizontal="right" vertical="top"/>
    </xf>
    <xf numFmtId="0" fontId="1" fillId="36" borderId="10" xfId="0" applyFont="1" applyFill="1" applyBorder="1" applyAlignment="1">
      <alignment horizontal="center" vertical="top"/>
    </xf>
    <xf numFmtId="0" fontId="1" fillId="36" borderId="10" xfId="0" applyFont="1" applyFill="1" applyBorder="1" applyAlignment="1">
      <alignment horizontal="right" vertical="top"/>
    </xf>
    <xf numFmtId="0" fontId="1" fillId="38" borderId="10" xfId="0" applyFont="1" applyFill="1" applyBorder="1" applyAlignment="1">
      <alignment horizontal="justify" vertical="top"/>
    </xf>
    <xf numFmtId="0" fontId="2" fillId="38" borderId="10" xfId="0" applyFont="1" applyFill="1" applyBorder="1" applyAlignment="1">
      <alignment horizontal="justify" vertical="top" wrapText="1"/>
    </xf>
    <xf numFmtId="0" fontId="1" fillId="38" borderId="10" xfId="0" applyFont="1" applyFill="1" applyBorder="1" applyAlignment="1">
      <alignment horizontal="center" vertical="top"/>
    </xf>
    <xf numFmtId="0" fontId="1" fillId="38" borderId="10" xfId="0" applyFont="1" applyFill="1" applyBorder="1" applyAlignment="1">
      <alignment horizontal="right" vertical="top"/>
    </xf>
    <xf numFmtId="3" fontId="1" fillId="38" borderId="10" xfId="0" applyNumberFormat="1" applyFont="1" applyFill="1" applyBorder="1" applyAlignment="1">
      <alignment horizontal="center" vertical="top"/>
    </xf>
    <xf numFmtId="0" fontId="2" fillId="38" borderId="10" xfId="0" applyFont="1" applyFill="1" applyBorder="1" applyAlignment="1">
      <alignment horizontal="left" vertical="top"/>
    </xf>
    <xf numFmtId="190" fontId="1" fillId="38" borderId="10" xfId="50" applyNumberFormat="1" applyFont="1" applyFill="1" applyBorder="1" applyAlignment="1">
      <alignment horizontal="right" vertical="top"/>
    </xf>
    <xf numFmtId="190" fontId="2" fillId="38" borderId="10" xfId="50" applyNumberFormat="1" applyFont="1" applyFill="1" applyBorder="1" applyAlignment="1">
      <alignment horizontal="right" vertical="top"/>
    </xf>
    <xf numFmtId="0" fontId="1" fillId="38" borderId="0" xfId="0" applyFont="1" applyFill="1" applyAlignment="1">
      <alignment horizontal="justify" vertical="top"/>
    </xf>
    <xf numFmtId="0" fontId="1" fillId="12" borderId="10" xfId="50" applyNumberFormat="1" applyFont="1" applyFill="1" applyBorder="1" applyAlignment="1">
      <alignment horizontal="right" vertical="top"/>
    </xf>
    <xf numFmtId="0" fontId="1" fillId="12" borderId="10" xfId="0" applyFont="1" applyFill="1" applyBorder="1" applyAlignment="1">
      <alignment horizontal="left" vertical="center" wrapText="1"/>
    </xf>
    <xf numFmtId="0" fontId="1" fillId="12" borderId="10" xfId="0" applyFont="1" applyFill="1" applyBorder="1" applyAlignment="1">
      <alignment horizontal="right" vertical="top"/>
    </xf>
    <xf numFmtId="3" fontId="1" fillId="36" borderId="10" xfId="0" applyNumberFormat="1" applyFont="1" applyFill="1" applyBorder="1" applyAlignment="1">
      <alignment horizontal="center" vertical="top" wrapText="1"/>
    </xf>
    <xf numFmtId="0" fontId="1" fillId="39" borderId="10" xfId="0" applyFont="1" applyFill="1" applyBorder="1" applyAlignment="1">
      <alignment/>
    </xf>
    <xf numFmtId="0" fontId="1" fillId="39" borderId="10" xfId="0" applyFont="1" applyFill="1" applyBorder="1" applyAlignment="1">
      <alignment horizontal="justify" vertical="center" wrapText="1"/>
    </xf>
    <xf numFmtId="0" fontId="1" fillId="39" borderId="10" xfId="0" applyFont="1" applyFill="1" applyBorder="1" applyAlignment="1">
      <alignment horizontal="center" vertical="center" wrapText="1"/>
    </xf>
    <xf numFmtId="0" fontId="1" fillId="39" borderId="10" xfId="0" applyFont="1" applyFill="1" applyBorder="1" applyAlignment="1">
      <alignment horizontal="right"/>
    </xf>
    <xf numFmtId="0" fontId="1" fillId="39" borderId="10" xfId="0" applyFont="1" applyFill="1" applyBorder="1" applyAlignment="1">
      <alignment horizontal="left" vertical="top"/>
    </xf>
    <xf numFmtId="3" fontId="1" fillId="39" borderId="10" xfId="0" applyNumberFormat="1" applyFont="1" applyFill="1" applyBorder="1" applyAlignment="1">
      <alignment horizontal="right" vertical="center"/>
    </xf>
    <xf numFmtId="1" fontId="1" fillId="39" borderId="10" xfId="0" applyNumberFormat="1" applyFont="1" applyFill="1" applyBorder="1" applyAlignment="1">
      <alignment horizontal="center" vertical="center"/>
    </xf>
    <xf numFmtId="0" fontId="1" fillId="39" borderId="0" xfId="0" applyFont="1" applyFill="1" applyAlignment="1">
      <alignment/>
    </xf>
    <xf numFmtId="0" fontId="1" fillId="39" borderId="10" xfId="0" applyFont="1" applyFill="1" applyBorder="1" applyAlignment="1">
      <alignment horizontal="center"/>
    </xf>
    <xf numFmtId="0" fontId="1" fillId="6" borderId="10" xfId="0" applyFont="1" applyFill="1" applyBorder="1" applyAlignment="1">
      <alignment horizontal="justify" vertical="top"/>
    </xf>
    <xf numFmtId="0" fontId="1" fillId="6" borderId="10" xfId="0" applyFont="1" applyFill="1" applyBorder="1" applyAlignment="1">
      <alignment horizontal="center" vertical="top"/>
    </xf>
    <xf numFmtId="0" fontId="1" fillId="6" borderId="10" xfId="0" applyFont="1" applyFill="1" applyBorder="1" applyAlignment="1">
      <alignment horizontal="left" vertical="top"/>
    </xf>
    <xf numFmtId="190" fontId="1" fillId="6" borderId="10" xfId="50" applyNumberFormat="1" applyFont="1" applyFill="1" applyBorder="1" applyAlignment="1">
      <alignment horizontal="justify" vertical="top"/>
    </xf>
    <xf numFmtId="0" fontId="1" fillId="6" borderId="0" xfId="0" applyFont="1" applyFill="1" applyAlignment="1">
      <alignment horizontal="justify" vertical="top"/>
    </xf>
    <xf numFmtId="0" fontId="1" fillId="6" borderId="10" xfId="0" applyFont="1" applyFill="1" applyBorder="1" applyAlignment="1">
      <alignment horizontal="justify" vertical="top" wrapText="1"/>
    </xf>
    <xf numFmtId="3" fontId="1" fillId="6" borderId="10" xfId="0" applyNumberFormat="1" applyFont="1" applyFill="1" applyBorder="1" applyAlignment="1">
      <alignment horizontal="right" vertical="top"/>
    </xf>
    <xf numFmtId="3" fontId="1" fillId="6" borderId="10" xfId="0" applyNumberFormat="1" applyFont="1" applyFill="1" applyBorder="1" applyAlignment="1">
      <alignment horizontal="center" vertical="top"/>
    </xf>
    <xf numFmtId="190" fontId="1" fillId="6" borderId="10" xfId="50" applyNumberFormat="1" applyFont="1" applyFill="1" applyBorder="1" applyAlignment="1">
      <alignment horizontal="right" vertical="top"/>
    </xf>
    <xf numFmtId="0" fontId="1" fillId="6" borderId="10" xfId="0" applyFont="1" applyFill="1" applyBorder="1" applyAlignment="1">
      <alignment horizontal="center" vertical="top" wrapText="1"/>
    </xf>
    <xf numFmtId="0" fontId="2" fillId="36" borderId="10" xfId="0" applyFont="1" applyFill="1" applyBorder="1" applyAlignment="1">
      <alignment horizontal="justify" vertical="top"/>
    </xf>
    <xf numFmtId="2" fontId="2" fillId="36" borderId="10" xfId="0" applyNumberFormat="1" applyFont="1" applyFill="1" applyBorder="1" applyAlignment="1">
      <alignment horizontal="justify" vertical="top" wrapText="1"/>
    </xf>
    <xf numFmtId="3" fontId="2" fillId="36" borderId="10" xfId="0" applyNumberFormat="1" applyFont="1" applyFill="1" applyBorder="1" applyAlignment="1">
      <alignment horizontal="right" vertical="top"/>
    </xf>
    <xf numFmtId="0" fontId="2" fillId="36" borderId="0" xfId="0" applyFont="1" applyFill="1" applyAlignment="1">
      <alignment horizontal="justify" vertical="top"/>
    </xf>
    <xf numFmtId="3" fontId="1" fillId="36" borderId="10" xfId="0" applyNumberFormat="1" applyFont="1" applyFill="1" applyBorder="1" applyAlignment="1">
      <alignment horizontal="right" vertical="top"/>
    </xf>
    <xf numFmtId="190" fontId="2" fillId="12" borderId="10" xfId="0" applyNumberFormat="1" applyFont="1" applyFill="1" applyBorder="1" applyAlignment="1">
      <alignment horizontal="right" vertical="top"/>
    </xf>
    <xf numFmtId="0" fontId="1" fillId="39" borderId="10" xfId="0" applyFont="1" applyFill="1" applyBorder="1" applyAlignment="1">
      <alignment vertical="center" wrapText="1"/>
    </xf>
    <xf numFmtId="0" fontId="1" fillId="39" borderId="10" xfId="0" applyFont="1" applyFill="1" applyBorder="1" applyAlignment="1">
      <alignment horizontal="justify" vertical="top"/>
    </xf>
    <xf numFmtId="0" fontId="1" fillId="39" borderId="10" xfId="0" applyFont="1" applyFill="1" applyBorder="1" applyAlignment="1">
      <alignment horizontal="justify" vertical="top" wrapText="1"/>
    </xf>
    <xf numFmtId="0" fontId="1" fillId="39" borderId="10" xfId="0" applyFont="1" applyFill="1" applyBorder="1" applyAlignment="1">
      <alignment horizontal="center" vertical="top"/>
    </xf>
    <xf numFmtId="3" fontId="1" fillId="39" borderId="10" xfId="0" applyNumberFormat="1" applyFont="1" applyFill="1" applyBorder="1" applyAlignment="1">
      <alignment horizontal="center" vertical="top"/>
    </xf>
    <xf numFmtId="190" fontId="1" fillId="39" borderId="10" xfId="50" applyNumberFormat="1" applyFont="1" applyFill="1" applyBorder="1" applyAlignment="1">
      <alignment horizontal="right" vertical="top"/>
    </xf>
    <xf numFmtId="0" fontId="1" fillId="39" borderId="0" xfId="0" applyFont="1" applyFill="1" applyAlignment="1">
      <alignment horizontal="justify" vertical="top"/>
    </xf>
    <xf numFmtId="190" fontId="1" fillId="39" borderId="10" xfId="0" applyNumberFormat="1" applyFont="1" applyFill="1" applyBorder="1" applyAlignment="1">
      <alignment horizontal="right" vertical="top"/>
    </xf>
    <xf numFmtId="0" fontId="1" fillId="39" borderId="10" xfId="0" applyFont="1" applyFill="1" applyBorder="1" applyAlignment="1" applyProtection="1">
      <alignment horizontal="justify" vertical="center"/>
      <protection locked="0"/>
    </xf>
    <xf numFmtId="0" fontId="1" fillId="39" borderId="10" xfId="0" applyFont="1" applyFill="1" applyBorder="1" applyAlignment="1" applyProtection="1">
      <alignment horizontal="center" vertical="center"/>
      <protection locked="0"/>
    </xf>
    <xf numFmtId="0" fontId="1" fillId="39" borderId="10" xfId="0" applyFont="1" applyFill="1" applyBorder="1" applyAlignment="1">
      <alignment horizontal="center" vertical="center"/>
    </xf>
    <xf numFmtId="0" fontId="1" fillId="39" borderId="10" xfId="0" applyFont="1" applyFill="1" applyBorder="1" applyAlignment="1">
      <alignment horizontal="right" vertical="top"/>
    </xf>
    <xf numFmtId="0" fontId="1" fillId="39" borderId="10" xfId="0" applyFont="1" applyFill="1" applyBorder="1" applyAlignment="1">
      <alignment horizontal="center" vertical="top" wrapText="1"/>
    </xf>
    <xf numFmtId="0" fontId="2" fillId="39" borderId="10" xfId="0" applyFont="1" applyFill="1" applyBorder="1" applyAlignment="1">
      <alignment horizontal="center" vertical="top" wrapText="1"/>
    </xf>
    <xf numFmtId="0" fontId="1" fillId="0" borderId="0" xfId="0" applyFont="1" applyFill="1" applyBorder="1" applyAlignment="1">
      <alignment vertical="center"/>
    </xf>
    <xf numFmtId="0" fontId="1" fillId="0" borderId="10" xfId="0" applyFont="1" applyFill="1" applyBorder="1" applyAlignment="1">
      <alignment vertical="center"/>
    </xf>
    <xf numFmtId="190" fontId="1" fillId="0" borderId="10" xfId="50" applyNumberFormat="1" applyFont="1" applyFill="1" applyBorder="1" applyAlignment="1">
      <alignment horizontal="right" vertical="center"/>
    </xf>
    <xf numFmtId="0" fontId="2" fillId="0" borderId="10" xfId="0" applyFont="1" applyFill="1" applyBorder="1" applyAlignment="1">
      <alignment horizontal="center" vertical="center"/>
    </xf>
    <xf numFmtId="190" fontId="2" fillId="0" borderId="10" xfId="50" applyNumberFormat="1" applyFont="1" applyFill="1" applyBorder="1" applyAlignment="1">
      <alignment horizontal="right" vertical="center"/>
    </xf>
    <xf numFmtId="0" fontId="2" fillId="0" borderId="10" xfId="0" applyFont="1" applyFill="1" applyBorder="1" applyAlignment="1">
      <alignment vertical="center"/>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190" fontId="1" fillId="0" borderId="11" xfId="50" applyNumberFormat="1" applyFont="1" applyFill="1" applyBorder="1" applyAlignment="1">
      <alignment horizontal="right" vertical="center"/>
    </xf>
    <xf numFmtId="0" fontId="10" fillId="0" borderId="0" xfId="0" applyFont="1" applyFill="1" applyAlignment="1">
      <alignment vertical="center"/>
    </xf>
    <xf numFmtId="0" fontId="1" fillId="34" borderId="10" xfId="0" applyFont="1" applyFill="1" applyBorder="1" applyAlignment="1">
      <alignment horizontal="justify" vertical="center"/>
    </xf>
    <xf numFmtId="0" fontId="2" fillId="34" borderId="10" xfId="0" applyFont="1" applyFill="1" applyBorder="1" applyAlignment="1">
      <alignment horizontal="justify" vertical="center" wrapText="1"/>
    </xf>
    <xf numFmtId="190" fontId="5" fillId="34" borderId="10" xfId="0" applyNumberFormat="1" applyFont="1" applyFill="1" applyBorder="1" applyAlignment="1">
      <alignment horizontal="center" vertical="center"/>
    </xf>
    <xf numFmtId="3" fontId="5" fillId="34" borderId="10" xfId="0" applyNumberFormat="1" applyFont="1" applyFill="1" applyBorder="1" applyAlignment="1">
      <alignment horizontal="center" vertical="center"/>
    </xf>
    <xf numFmtId="190" fontId="5" fillId="34" borderId="10" xfId="50" applyNumberFormat="1" applyFont="1" applyFill="1" applyBorder="1" applyAlignment="1">
      <alignment horizontal="right" vertical="center"/>
    </xf>
    <xf numFmtId="190" fontId="2" fillId="34" borderId="10" xfId="50" applyNumberFormat="1" applyFont="1" applyFill="1" applyBorder="1" applyAlignment="1">
      <alignment horizontal="right" vertical="center"/>
    </xf>
    <xf numFmtId="0" fontId="5" fillId="34" borderId="10" xfId="0" applyFont="1" applyFill="1" applyBorder="1" applyAlignment="1">
      <alignment horizontal="center" vertical="center"/>
    </xf>
    <xf numFmtId="0" fontId="1" fillId="32" borderId="10" xfId="0" applyFont="1" applyFill="1" applyBorder="1" applyAlignment="1">
      <alignment horizontal="justify" vertical="center"/>
    </xf>
    <xf numFmtId="0" fontId="2" fillId="32" borderId="10" xfId="0" applyFont="1" applyFill="1" applyBorder="1" applyAlignment="1">
      <alignment horizontal="justify" vertical="center" wrapText="1"/>
    </xf>
    <xf numFmtId="0" fontId="2" fillId="32" borderId="10" xfId="0" applyFont="1" applyFill="1" applyBorder="1" applyAlignment="1">
      <alignment horizontal="center" vertical="center"/>
    </xf>
    <xf numFmtId="3" fontId="2" fillId="32" borderId="10" xfId="0" applyNumberFormat="1" applyFont="1" applyFill="1" applyBorder="1" applyAlignment="1">
      <alignment horizontal="center" vertical="center"/>
    </xf>
    <xf numFmtId="190" fontId="2" fillId="32" borderId="10" xfId="50" applyNumberFormat="1" applyFont="1" applyFill="1" applyBorder="1" applyAlignment="1">
      <alignment horizontal="right" vertical="center"/>
    </xf>
    <xf numFmtId="0" fontId="1" fillId="0" borderId="0" xfId="0" applyFont="1" applyFill="1" applyAlignment="1">
      <alignment horizontal="justify" vertical="center"/>
    </xf>
    <xf numFmtId="0" fontId="1" fillId="33" borderId="10" xfId="0" applyFont="1" applyFill="1" applyBorder="1" applyAlignment="1">
      <alignment horizontal="justify" vertical="center"/>
    </xf>
    <xf numFmtId="0" fontId="2" fillId="33" borderId="10" xfId="0" applyFont="1" applyFill="1" applyBorder="1" applyAlignment="1">
      <alignment horizontal="justify" vertical="center" wrapText="1"/>
    </xf>
    <xf numFmtId="0" fontId="2" fillId="33" borderId="10" xfId="0" applyFont="1" applyFill="1" applyBorder="1" applyAlignment="1">
      <alignment horizontal="center" vertical="center"/>
    </xf>
    <xf numFmtId="3" fontId="2" fillId="33" borderId="10" xfId="0" applyNumberFormat="1" applyFont="1" applyFill="1" applyBorder="1" applyAlignment="1">
      <alignment horizontal="center" vertical="center"/>
    </xf>
    <xf numFmtId="190" fontId="2" fillId="33" borderId="10" xfId="50" applyNumberFormat="1" applyFont="1" applyFill="1" applyBorder="1" applyAlignment="1">
      <alignment horizontal="right" vertical="center"/>
    </xf>
    <xf numFmtId="190" fontId="2" fillId="33" borderId="10" xfId="50" applyNumberFormat="1" applyFont="1" applyFill="1" applyBorder="1" applyAlignment="1">
      <alignment horizontal="right" vertical="center" wrapText="1"/>
    </xf>
    <xf numFmtId="0" fontId="1" fillId="35" borderId="10" xfId="0" applyFont="1" applyFill="1" applyBorder="1" applyAlignment="1">
      <alignment horizontal="justify" vertical="center"/>
    </xf>
    <xf numFmtId="0" fontId="2" fillId="35" borderId="10" xfId="0" applyFont="1" applyFill="1" applyBorder="1" applyAlignment="1">
      <alignment horizontal="justify" vertical="center" wrapText="1"/>
    </xf>
    <xf numFmtId="3" fontId="1" fillId="35" borderId="10" xfId="0" applyNumberFormat="1" applyFont="1" applyFill="1" applyBorder="1" applyAlignment="1">
      <alignment horizontal="center" vertical="center"/>
    </xf>
    <xf numFmtId="190" fontId="1" fillId="35" borderId="10" xfId="50" applyNumberFormat="1" applyFont="1" applyFill="1" applyBorder="1" applyAlignment="1">
      <alignment horizontal="right" vertical="center"/>
    </xf>
    <xf numFmtId="190" fontId="2" fillId="35" borderId="10" xfId="50" applyNumberFormat="1" applyFont="1" applyFill="1" applyBorder="1" applyAlignment="1">
      <alignment horizontal="right" vertical="center"/>
    </xf>
    <xf numFmtId="0" fontId="2" fillId="35" borderId="10" xfId="0" applyFont="1" applyFill="1" applyBorder="1" applyAlignment="1">
      <alignment horizontal="justify" vertical="center"/>
    </xf>
    <xf numFmtId="190" fontId="1" fillId="39" borderId="10" xfId="50" applyNumberFormat="1" applyFont="1" applyFill="1" applyBorder="1" applyAlignment="1">
      <alignment horizontal="right" vertical="center"/>
    </xf>
    <xf numFmtId="0" fontId="2" fillId="35" borderId="10" xfId="0" applyFont="1" applyFill="1" applyBorder="1" applyAlignment="1">
      <alignment vertical="center"/>
    </xf>
    <xf numFmtId="3" fontId="2" fillId="35" borderId="10" xfId="0" applyNumberFormat="1" applyFont="1" applyFill="1" applyBorder="1" applyAlignment="1">
      <alignment horizontal="right" vertical="center"/>
    </xf>
    <xf numFmtId="0" fontId="1" fillId="12" borderId="10" xfId="0" applyFont="1" applyFill="1" applyBorder="1" applyAlignment="1">
      <alignment horizontal="justify" vertical="center"/>
    </xf>
    <xf numFmtId="2" fontId="2" fillId="12" borderId="10" xfId="0" applyNumberFormat="1" applyFont="1" applyFill="1" applyBorder="1" applyAlignment="1">
      <alignment vertical="center" wrapText="1"/>
    </xf>
    <xf numFmtId="190" fontId="1" fillId="12" borderId="10" xfId="50" applyNumberFormat="1" applyFont="1" applyFill="1" applyBorder="1" applyAlignment="1">
      <alignment horizontal="right" vertical="center"/>
    </xf>
    <xf numFmtId="3" fontId="2" fillId="12" borderId="10" xfId="0" applyNumberFormat="1" applyFont="1" applyFill="1" applyBorder="1" applyAlignment="1">
      <alignment horizontal="right" vertical="center"/>
    </xf>
    <xf numFmtId="0" fontId="1" fillId="12" borderId="10" xfId="0" applyFont="1" applyFill="1" applyBorder="1" applyAlignment="1">
      <alignment horizontal="right" vertical="center"/>
    </xf>
    <xf numFmtId="0" fontId="2" fillId="35" borderId="10" xfId="0" applyFont="1" applyFill="1" applyBorder="1" applyAlignment="1">
      <alignment horizontal="center" vertical="center"/>
    </xf>
    <xf numFmtId="3" fontId="2" fillId="35" borderId="10" xfId="0" applyNumberFormat="1" applyFont="1" applyFill="1" applyBorder="1" applyAlignment="1">
      <alignment horizontal="center" vertical="center"/>
    </xf>
    <xf numFmtId="0" fontId="2" fillId="0" borderId="10" xfId="0" applyFont="1" applyFill="1" applyBorder="1" applyAlignment="1">
      <alignment horizontal="justify" vertical="center"/>
    </xf>
    <xf numFmtId="0" fontId="2" fillId="0" borderId="10" xfId="0" applyFont="1" applyFill="1" applyBorder="1" applyAlignment="1">
      <alignment horizontal="justify" vertical="center" wrapText="1"/>
    </xf>
    <xf numFmtId="3" fontId="2" fillId="0" borderId="10" xfId="0" applyNumberFormat="1" applyFont="1" applyFill="1" applyBorder="1" applyAlignment="1">
      <alignment horizontal="center" vertical="center"/>
    </xf>
    <xf numFmtId="0" fontId="2" fillId="0" borderId="0" xfId="0" applyFont="1" applyFill="1" applyAlignment="1">
      <alignment horizontal="justify" vertical="center"/>
    </xf>
    <xf numFmtId="49" fontId="1" fillId="0" borderId="10" xfId="0" applyNumberFormat="1" applyFont="1" applyFill="1" applyBorder="1" applyAlignment="1">
      <alignment horizontal="center" vertical="center"/>
    </xf>
    <xf numFmtId="2" fontId="1" fillId="0" borderId="10" xfId="0" applyNumberFormat="1" applyFont="1" applyFill="1" applyBorder="1" applyAlignment="1">
      <alignment horizontal="justify" vertical="center" wrapText="1"/>
    </xf>
    <xf numFmtId="0" fontId="2" fillId="12" borderId="10" xfId="0" applyFont="1" applyFill="1" applyBorder="1" applyAlignment="1">
      <alignment horizontal="justify" vertical="center" wrapText="1"/>
    </xf>
    <xf numFmtId="0" fontId="2" fillId="12" borderId="10" xfId="0" applyFont="1" applyFill="1" applyBorder="1" applyAlignment="1">
      <alignment horizontal="center" vertical="center"/>
    </xf>
    <xf numFmtId="3" fontId="2" fillId="12" borderId="10" xfId="0" applyNumberFormat="1" applyFont="1" applyFill="1" applyBorder="1" applyAlignment="1">
      <alignment horizontal="center" vertical="center"/>
    </xf>
    <xf numFmtId="190" fontId="2" fillId="12" borderId="10" xfId="50" applyNumberFormat="1" applyFont="1" applyFill="1" applyBorder="1" applyAlignment="1">
      <alignment horizontal="right" vertical="center"/>
    </xf>
    <xf numFmtId="2" fontId="2" fillId="12" borderId="10" xfId="0" applyNumberFormat="1" applyFont="1" applyFill="1" applyBorder="1" applyAlignment="1">
      <alignment horizontal="justify" vertical="center" wrapText="1"/>
    </xf>
    <xf numFmtId="0" fontId="2" fillId="12" borderId="10" xfId="0" applyFont="1" applyFill="1" applyBorder="1" applyAlignment="1">
      <alignment horizontal="right" vertical="center"/>
    </xf>
    <xf numFmtId="0" fontId="1" fillId="0" borderId="10" xfId="0" applyNumberFormat="1" applyFont="1" applyFill="1" applyBorder="1" applyAlignment="1">
      <alignment horizontal="left" vertical="center" wrapText="1"/>
    </xf>
    <xf numFmtId="0" fontId="1" fillId="36" borderId="10" xfId="0" applyFont="1" applyFill="1" applyBorder="1" applyAlignment="1">
      <alignment horizontal="justify" vertical="center"/>
    </xf>
    <xf numFmtId="0" fontId="2" fillId="36" borderId="10" xfId="0" applyFont="1" applyFill="1" applyBorder="1" applyAlignment="1">
      <alignment horizontal="justify" vertical="center" wrapText="1"/>
    </xf>
    <xf numFmtId="3" fontId="2" fillId="36" borderId="10" xfId="0" applyNumberFormat="1" applyFont="1" applyFill="1" applyBorder="1" applyAlignment="1">
      <alignment horizontal="center" vertical="center"/>
    </xf>
    <xf numFmtId="190" fontId="2" fillId="36" borderId="10" xfId="50" applyNumberFormat="1" applyFont="1" applyFill="1" applyBorder="1" applyAlignment="1">
      <alignment horizontal="right" vertical="center"/>
    </xf>
    <xf numFmtId="0" fontId="2" fillId="36" borderId="10" xfId="0" applyFont="1" applyFill="1" applyBorder="1" applyAlignment="1">
      <alignment horizontal="center" vertical="center"/>
    </xf>
    <xf numFmtId="3" fontId="1" fillId="12" borderId="10" xfId="0" applyNumberFormat="1" applyFont="1" applyFill="1" applyBorder="1" applyAlignment="1">
      <alignment horizontal="right" vertical="center" wrapText="1"/>
    </xf>
    <xf numFmtId="190" fontId="6" fillId="12" borderId="10" xfId="50" applyNumberFormat="1" applyFont="1" applyFill="1" applyBorder="1" applyAlignment="1">
      <alignment horizontal="right" vertical="center"/>
    </xf>
    <xf numFmtId="0" fontId="1" fillId="0" borderId="0" xfId="0" applyFont="1" applyFill="1" applyAlignment="1">
      <alignment horizontal="justify" vertical="center" wrapText="1"/>
    </xf>
    <xf numFmtId="0" fontId="7" fillId="37" borderId="10" xfId="0" applyFont="1" applyFill="1" applyBorder="1" applyAlignment="1">
      <alignment horizontal="justify" vertical="center" wrapText="1"/>
    </xf>
    <xf numFmtId="0" fontId="3" fillId="37" borderId="10" xfId="0" applyFont="1" applyFill="1" applyBorder="1" applyAlignment="1">
      <alignment horizontal="justify" vertical="center" wrapText="1"/>
    </xf>
    <xf numFmtId="0" fontId="3" fillId="37" borderId="10" xfId="0" applyFont="1" applyFill="1" applyBorder="1" applyAlignment="1">
      <alignment horizontal="center" vertical="center" wrapText="1"/>
    </xf>
    <xf numFmtId="3" fontId="3" fillId="37" borderId="10" xfId="0" applyNumberFormat="1" applyFont="1" applyFill="1" applyBorder="1" applyAlignment="1">
      <alignment horizontal="center" vertical="center" wrapText="1"/>
    </xf>
    <xf numFmtId="190" fontId="3" fillId="37" borderId="10" xfId="50" applyNumberFormat="1" applyFont="1" applyFill="1" applyBorder="1" applyAlignment="1">
      <alignment horizontal="right" vertical="center" wrapText="1"/>
    </xf>
    <xf numFmtId="190" fontId="3" fillId="37" borderId="10" xfId="50" applyNumberFormat="1" applyFont="1" applyFill="1" applyBorder="1" applyAlignment="1">
      <alignment horizontal="right" vertical="center"/>
    </xf>
    <xf numFmtId="0" fontId="1" fillId="12" borderId="10" xfId="0" applyFont="1" applyFill="1" applyBorder="1" applyAlignment="1">
      <alignment horizontal="justify" vertical="center" wrapText="1"/>
    </xf>
    <xf numFmtId="3" fontId="1" fillId="12" borderId="10" xfId="0" applyNumberFormat="1" applyFont="1" applyFill="1" applyBorder="1" applyAlignment="1">
      <alignment horizontal="center" vertical="center" wrapText="1"/>
    </xf>
    <xf numFmtId="190" fontId="6" fillId="12" borderId="10" xfId="50" applyNumberFormat="1" applyFont="1" applyFill="1" applyBorder="1" applyAlignment="1">
      <alignment horizontal="right" vertical="center" wrapText="1"/>
    </xf>
    <xf numFmtId="190" fontId="8" fillId="12" borderId="10" xfId="50" applyNumberFormat="1" applyFont="1" applyFill="1" applyBorder="1" applyAlignment="1">
      <alignment horizontal="right" vertical="center" wrapText="1"/>
    </xf>
    <xf numFmtId="0" fontId="2" fillId="12" borderId="10" xfId="0" applyFont="1" applyFill="1" applyBorder="1" applyAlignment="1">
      <alignment horizontal="center" vertical="center" wrapText="1"/>
    </xf>
    <xf numFmtId="190" fontId="1" fillId="12" borderId="10" xfId="50" applyNumberFormat="1" applyFont="1" applyFill="1" applyBorder="1" applyAlignment="1">
      <alignment horizontal="right" vertical="center" wrapText="1"/>
    </xf>
    <xf numFmtId="3" fontId="2" fillId="12" borderId="10" xfId="0" applyNumberFormat="1" applyFont="1" applyFill="1" applyBorder="1" applyAlignment="1">
      <alignment horizontal="center" vertical="center" wrapText="1"/>
    </xf>
    <xf numFmtId="3" fontId="2" fillId="12" borderId="10" xfId="50" applyNumberFormat="1" applyFont="1" applyFill="1" applyBorder="1" applyAlignment="1">
      <alignment horizontal="right" vertical="center" wrapText="1"/>
    </xf>
    <xf numFmtId="0" fontId="2" fillId="36" borderId="10" xfId="0" applyFont="1" applyFill="1" applyBorder="1" applyAlignment="1">
      <alignment horizontal="center" vertical="center" wrapText="1"/>
    </xf>
    <xf numFmtId="0" fontId="6" fillId="0" borderId="0" xfId="0" applyFont="1" applyFill="1" applyAlignment="1">
      <alignment horizontal="justify" vertical="center" wrapText="1"/>
    </xf>
    <xf numFmtId="3" fontId="1" fillId="36" borderId="10" xfId="0" applyNumberFormat="1" applyFont="1" applyFill="1" applyBorder="1" applyAlignment="1">
      <alignment horizontal="center" vertical="center"/>
    </xf>
    <xf numFmtId="190" fontId="1" fillId="36" borderId="10" xfId="50" applyNumberFormat="1" applyFont="1" applyFill="1" applyBorder="1" applyAlignment="1">
      <alignment horizontal="right" vertical="center"/>
    </xf>
    <xf numFmtId="0" fontId="1" fillId="36" borderId="10"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0" fontId="1" fillId="38" borderId="10" xfId="0" applyFont="1" applyFill="1" applyBorder="1" applyAlignment="1">
      <alignment horizontal="justify" vertical="center"/>
    </xf>
    <xf numFmtId="0" fontId="2" fillId="38" borderId="10" xfId="0" applyFont="1" applyFill="1" applyBorder="1" applyAlignment="1">
      <alignment horizontal="justify" vertical="center" wrapText="1"/>
    </xf>
    <xf numFmtId="0" fontId="1" fillId="38" borderId="10" xfId="0" applyFont="1" applyFill="1" applyBorder="1" applyAlignment="1">
      <alignment horizontal="center" vertical="center"/>
    </xf>
    <xf numFmtId="3" fontId="1" fillId="38" borderId="10" xfId="0" applyNumberFormat="1" applyFont="1" applyFill="1" applyBorder="1" applyAlignment="1">
      <alignment horizontal="center" vertical="center"/>
    </xf>
    <xf numFmtId="190" fontId="1" fillId="38" borderId="10" xfId="50" applyNumberFormat="1" applyFont="1" applyFill="1" applyBorder="1" applyAlignment="1">
      <alignment horizontal="right" vertical="center"/>
    </xf>
    <xf numFmtId="190" fontId="2" fillId="38" borderId="10" xfId="50" applyNumberFormat="1" applyFont="1" applyFill="1" applyBorder="1" applyAlignment="1">
      <alignment horizontal="right" vertical="center"/>
    </xf>
    <xf numFmtId="0" fontId="2" fillId="12" borderId="10" xfId="0" applyFont="1" applyFill="1" applyBorder="1" applyAlignment="1">
      <alignment horizontal="justify" vertical="center"/>
    </xf>
    <xf numFmtId="0" fontId="1" fillId="39" borderId="10" xfId="0" applyFont="1" applyFill="1" applyBorder="1" applyAlignment="1">
      <alignment vertical="center"/>
    </xf>
    <xf numFmtId="0" fontId="1" fillId="0" borderId="0" xfId="0" applyFont="1" applyFill="1" applyAlignment="1">
      <alignment vertical="center"/>
    </xf>
    <xf numFmtId="3" fontId="1" fillId="36"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xf>
    <xf numFmtId="3" fontId="1" fillId="34" borderId="10" xfId="0" applyNumberFormat="1" applyFont="1" applyFill="1" applyBorder="1" applyAlignment="1">
      <alignment horizontal="center" vertical="center"/>
    </xf>
    <xf numFmtId="190" fontId="1" fillId="34" borderId="10" xfId="50" applyNumberFormat="1" applyFont="1" applyFill="1" applyBorder="1" applyAlignment="1">
      <alignment horizontal="right" vertical="center"/>
    </xf>
    <xf numFmtId="190" fontId="2" fillId="12" borderId="10" xfId="0" applyNumberFormat="1" applyFont="1" applyFill="1" applyBorder="1" applyAlignment="1">
      <alignment horizontal="right" vertical="center"/>
    </xf>
    <xf numFmtId="0" fontId="1" fillId="39" borderId="10" xfId="0" applyFont="1" applyFill="1" applyBorder="1" applyAlignment="1">
      <alignment horizontal="justify" vertical="center"/>
    </xf>
    <xf numFmtId="3" fontId="1" fillId="39" borderId="10" xfId="0" applyNumberFormat="1" applyFont="1" applyFill="1" applyBorder="1" applyAlignment="1">
      <alignment horizontal="center" vertical="center"/>
    </xf>
    <xf numFmtId="190" fontId="1" fillId="39" borderId="10" xfId="0" applyNumberFormat="1" applyFont="1" applyFill="1" applyBorder="1" applyAlignment="1">
      <alignment horizontal="right" vertical="center"/>
    </xf>
    <xf numFmtId="0" fontId="1" fillId="6" borderId="10" xfId="0" applyFont="1" applyFill="1" applyBorder="1" applyAlignment="1">
      <alignment horizontal="justify" vertical="center"/>
    </xf>
    <xf numFmtId="0" fontId="1" fillId="6" borderId="10" xfId="0" applyFont="1" applyFill="1" applyBorder="1" applyAlignment="1">
      <alignment horizontal="justify" vertical="center" wrapText="1"/>
    </xf>
    <xf numFmtId="0" fontId="1" fillId="6" borderId="10" xfId="0" applyFont="1" applyFill="1" applyBorder="1" applyAlignment="1">
      <alignment horizontal="center" vertical="center"/>
    </xf>
    <xf numFmtId="3" fontId="1" fillId="6" borderId="10" xfId="0" applyNumberFormat="1" applyFont="1" applyFill="1" applyBorder="1" applyAlignment="1">
      <alignment horizontal="center" vertical="center"/>
    </xf>
    <xf numFmtId="190" fontId="1" fillId="6" borderId="10" xfId="50" applyNumberFormat="1" applyFont="1" applyFill="1" applyBorder="1" applyAlignment="1">
      <alignment horizontal="right" vertical="center"/>
    </xf>
    <xf numFmtId="0" fontId="1" fillId="6" borderId="10" xfId="0" applyFont="1" applyFill="1" applyBorder="1" applyAlignment="1">
      <alignment horizontal="center" vertical="center" wrapText="1"/>
    </xf>
    <xf numFmtId="0" fontId="2" fillId="36" borderId="10" xfId="0" applyFont="1" applyFill="1" applyBorder="1" applyAlignment="1">
      <alignment horizontal="justify" vertical="center"/>
    </xf>
    <xf numFmtId="2" fontId="2" fillId="36" borderId="10" xfId="0" applyNumberFormat="1" applyFont="1" applyFill="1" applyBorder="1" applyAlignment="1">
      <alignment horizontal="justify" vertical="center" wrapText="1"/>
    </xf>
    <xf numFmtId="0" fontId="1" fillId="0" borderId="0" xfId="0" applyFont="1" applyFill="1" applyBorder="1" applyAlignment="1">
      <alignment horizontal="center" vertical="center"/>
    </xf>
    <xf numFmtId="190" fontId="1" fillId="0" borderId="0" xfId="50" applyNumberFormat="1" applyFont="1" applyFill="1" applyBorder="1" applyAlignment="1">
      <alignment horizontal="right" vertical="center"/>
    </xf>
    <xf numFmtId="3" fontId="1" fillId="0" borderId="0" xfId="0" applyNumberFormat="1" applyFont="1" applyFill="1" applyAlignment="1">
      <alignment horizontal="justify" vertical="center"/>
    </xf>
    <xf numFmtId="0" fontId="51" fillId="0" borderId="0" xfId="0" applyFont="1" applyAlignment="1">
      <alignment horizontal="center" vertical="center"/>
    </xf>
    <xf numFmtId="0" fontId="1" fillId="0" borderId="0" xfId="0" applyFont="1" applyFill="1" applyBorder="1" applyAlignment="1">
      <alignment horizontal="justify" vertical="center" wrapText="1"/>
    </xf>
    <xf numFmtId="0" fontId="51" fillId="0" borderId="10" xfId="0" applyFont="1" applyBorder="1" applyAlignment="1">
      <alignment horizontal="center" vertical="center"/>
    </xf>
    <xf numFmtId="198" fontId="51" fillId="0" borderId="0" xfId="50" applyNumberFormat="1" applyFont="1" applyFill="1" applyAlignment="1">
      <alignment vertical="center"/>
    </xf>
    <xf numFmtId="190" fontId="1" fillId="0" borderId="10" xfId="50" applyNumberFormat="1" applyFont="1" applyFill="1" applyBorder="1" applyAlignment="1">
      <alignment horizontal="center" vertical="center"/>
    </xf>
    <xf numFmtId="3" fontId="2" fillId="34" borderId="10" xfId="50" applyNumberFormat="1" applyFont="1" applyFill="1" applyBorder="1" applyAlignment="1">
      <alignment horizontal="center" vertical="center"/>
    </xf>
    <xf numFmtId="0" fontId="2" fillId="32" borderId="10" xfId="50" applyNumberFormat="1" applyFont="1" applyFill="1" applyBorder="1" applyAlignment="1">
      <alignment horizontal="center" vertical="center"/>
    </xf>
    <xf numFmtId="0" fontId="1" fillId="0" borderId="10" xfId="50" applyNumberFormat="1" applyFont="1" applyFill="1" applyBorder="1" applyAlignment="1">
      <alignment horizontal="center" vertical="center"/>
    </xf>
    <xf numFmtId="0" fontId="2" fillId="33" borderId="10" xfId="50" applyNumberFormat="1" applyFont="1" applyFill="1" applyBorder="1" applyAlignment="1">
      <alignment horizontal="center" vertical="center"/>
    </xf>
    <xf numFmtId="0" fontId="2" fillId="35" borderId="10" xfId="50" applyNumberFormat="1" applyFont="1" applyFill="1" applyBorder="1" applyAlignment="1">
      <alignment horizontal="center" vertical="center"/>
    </xf>
    <xf numFmtId="0" fontId="2" fillId="0" borderId="10" xfId="50" applyNumberFormat="1" applyFont="1" applyFill="1" applyBorder="1" applyAlignment="1">
      <alignment horizontal="center" vertical="center"/>
    </xf>
    <xf numFmtId="0" fontId="2" fillId="12" borderId="10" xfId="50" applyNumberFormat="1" applyFont="1" applyFill="1" applyBorder="1" applyAlignment="1">
      <alignment horizontal="center" vertical="center"/>
    </xf>
    <xf numFmtId="190" fontId="1" fillId="12" borderId="10" xfId="0" applyNumberFormat="1" applyFont="1" applyFill="1" applyBorder="1" applyAlignment="1">
      <alignment horizontal="center" vertical="center"/>
    </xf>
    <xf numFmtId="0" fontId="2" fillId="36" borderId="10" xfId="50" applyNumberFormat="1" applyFont="1" applyFill="1" applyBorder="1" applyAlignment="1">
      <alignment horizontal="center" vertical="center"/>
    </xf>
    <xf numFmtId="0" fontId="3" fillId="37" borderId="10" xfId="50" applyNumberFormat="1" applyFont="1" applyFill="1" applyBorder="1" applyAlignment="1">
      <alignment horizontal="center" vertical="center" wrapText="1"/>
    </xf>
    <xf numFmtId="0" fontId="1" fillId="12" borderId="10" xfId="0" applyNumberFormat="1" applyFont="1" applyFill="1" applyBorder="1" applyAlignment="1">
      <alignment horizontal="center" vertical="center" wrapText="1"/>
    </xf>
    <xf numFmtId="0" fontId="1" fillId="12" borderId="10" xfId="50" applyNumberFormat="1" applyFont="1" applyFill="1" applyBorder="1" applyAlignment="1">
      <alignment horizontal="center" vertical="center" wrapText="1"/>
    </xf>
    <xf numFmtId="0" fontId="2" fillId="12" borderId="10" xfId="50" applyNumberFormat="1" applyFont="1" applyFill="1" applyBorder="1" applyAlignment="1">
      <alignment horizontal="center" vertical="center" wrapText="1"/>
    </xf>
    <xf numFmtId="0" fontId="1" fillId="12" borderId="10" xfId="50" applyNumberFormat="1" applyFont="1" applyFill="1" applyBorder="1" applyAlignment="1">
      <alignment horizontal="center" vertical="center"/>
    </xf>
    <xf numFmtId="0" fontId="7" fillId="0" borderId="0" xfId="0" applyFont="1" applyFill="1" applyBorder="1" applyAlignment="1">
      <alignment horizontal="justify" vertical="center" wrapText="1"/>
    </xf>
    <xf numFmtId="0" fontId="7" fillId="0" borderId="0" xfId="0" applyFont="1" applyFill="1" applyAlignment="1">
      <alignment horizontal="justify" vertical="center" wrapText="1"/>
    </xf>
    <xf numFmtId="0" fontId="2" fillId="0" borderId="0" xfId="0" applyFont="1" applyFill="1" applyAlignment="1">
      <alignment horizontal="justify" vertical="center" wrapText="1"/>
    </xf>
    <xf numFmtId="190" fontId="1" fillId="0" borderId="0" xfId="0" applyNumberFormat="1" applyFont="1" applyFill="1" applyAlignment="1">
      <alignment horizontal="justify" vertical="center"/>
    </xf>
    <xf numFmtId="0" fontId="2" fillId="32" borderId="12" xfId="0" applyFont="1" applyFill="1" applyBorder="1" applyAlignment="1">
      <alignment horizontal="center" vertical="center"/>
    </xf>
    <xf numFmtId="190" fontId="2" fillId="0" borderId="0" xfId="50" applyNumberFormat="1" applyFont="1" applyFill="1" applyBorder="1" applyAlignment="1">
      <alignment horizontal="right" vertical="center"/>
    </xf>
    <xf numFmtId="190" fontId="2" fillId="6" borderId="10" xfId="50" applyNumberFormat="1" applyFont="1" applyFill="1" applyBorder="1" applyAlignment="1">
      <alignment horizontal="right" vertical="center"/>
    </xf>
    <xf numFmtId="14" fontId="0" fillId="0" borderId="0" xfId="0" applyNumberFormat="1" applyFill="1" applyBorder="1" applyAlignment="1">
      <alignment vertical="center"/>
    </xf>
    <xf numFmtId="198" fontId="0" fillId="0" borderId="0" xfId="0" applyNumberFormat="1" applyFill="1" applyAlignment="1">
      <alignment vertical="center"/>
    </xf>
    <xf numFmtId="0" fontId="2" fillId="34" borderId="10" xfId="0" applyFont="1" applyFill="1" applyBorder="1" applyAlignment="1">
      <alignment horizontal="center" vertical="center"/>
    </xf>
    <xf numFmtId="0" fontId="11" fillId="0" borderId="10" xfId="0" applyFont="1" applyFill="1" applyBorder="1" applyAlignment="1">
      <alignment horizontal="center" vertical="center"/>
    </xf>
    <xf numFmtId="3" fontId="2" fillId="12" borderId="10" xfId="50" applyNumberFormat="1" applyFont="1" applyFill="1" applyBorder="1" applyAlignment="1">
      <alignment horizontal="center" vertical="center" wrapText="1"/>
    </xf>
    <xf numFmtId="3" fontId="1" fillId="0" borderId="10" xfId="50" applyNumberFormat="1" applyFont="1" applyFill="1" applyBorder="1" applyAlignment="1">
      <alignment horizontal="center" vertical="center" wrapText="1"/>
    </xf>
    <xf numFmtId="0" fontId="2" fillId="38" borderId="10" xfId="0" applyFont="1" applyFill="1" applyBorder="1" applyAlignment="1">
      <alignment horizontal="center" vertical="center"/>
    </xf>
    <xf numFmtId="0" fontId="1" fillId="32" borderId="0" xfId="0" applyFont="1" applyFill="1" applyAlignment="1">
      <alignment horizontal="right" vertical="center"/>
    </xf>
    <xf numFmtId="190" fontId="51" fillId="0" borderId="0" xfId="50" applyNumberFormat="1" applyFont="1" applyAlignment="1">
      <alignment horizontal="right" vertical="center"/>
    </xf>
    <xf numFmtId="198" fontId="51" fillId="0" borderId="0" xfId="50" applyNumberFormat="1" applyFont="1" applyAlignment="1">
      <alignment horizontal="right" vertical="center"/>
    </xf>
    <xf numFmtId="198" fontId="51" fillId="0" borderId="10" xfId="50" applyNumberFormat="1" applyFont="1" applyBorder="1" applyAlignment="1">
      <alignment horizontal="right" vertical="center"/>
    </xf>
    <xf numFmtId="198" fontId="51" fillId="0" borderId="0" xfId="50" applyNumberFormat="1" applyFont="1" applyFill="1" applyAlignment="1">
      <alignment horizontal="right" vertical="center"/>
    </xf>
    <xf numFmtId="198" fontId="51" fillId="0" borderId="10" xfId="57" applyNumberFormat="1" applyFont="1" applyBorder="1" applyAlignment="1">
      <alignment horizontal="right" vertical="center"/>
    </xf>
    <xf numFmtId="198" fontId="51" fillId="0" borderId="0" xfId="57" applyNumberFormat="1" applyFont="1" applyAlignment="1">
      <alignment horizontal="right" vertical="center"/>
    </xf>
    <xf numFmtId="198" fontId="0" fillId="0" borderId="0" xfId="0" applyNumberFormat="1" applyAlignment="1">
      <alignment horizontal="right" vertical="center"/>
    </xf>
    <xf numFmtId="198" fontId="0" fillId="0" borderId="10" xfId="50" applyNumberFormat="1" applyFont="1" applyBorder="1" applyAlignment="1">
      <alignment horizontal="right" vertic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9" fillId="0" borderId="10" xfId="0" applyFont="1" applyFill="1" applyBorder="1" applyAlignment="1">
      <alignment horizontal="center" vertical="center" wrapText="1"/>
    </xf>
    <xf numFmtId="0" fontId="2" fillId="0" borderId="15" xfId="0" applyFont="1" applyFill="1" applyBorder="1" applyAlignment="1">
      <alignment horizontal="center"/>
    </xf>
    <xf numFmtId="0" fontId="2" fillId="0" borderId="16" xfId="0" applyFont="1" applyFill="1" applyBorder="1" applyAlignment="1">
      <alignment horizontal="center"/>
    </xf>
    <xf numFmtId="3" fontId="9" fillId="0" borderId="10" xfId="0" applyNumberFormat="1" applyFont="1" applyFill="1" applyBorder="1" applyAlignment="1">
      <alignment horizontal="right" vertical="center" wrapText="1"/>
    </xf>
    <xf numFmtId="190" fontId="9" fillId="0" borderId="10" xfId="50" applyNumberFormat="1" applyFont="1" applyFill="1" applyBorder="1" applyAlignment="1">
      <alignment horizontal="righ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6" xfId="0" applyFont="1" applyFill="1" applyBorder="1" applyAlignment="1">
      <alignment horizontal="center" vertical="center"/>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a 2" xfId="37"/>
    <cellStyle name="Coma 3"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Millares 2 2" xfId="53"/>
    <cellStyle name="Millares 2 3" xfId="54"/>
    <cellStyle name="Millares 3" xfId="55"/>
    <cellStyle name="Millares 4" xfId="56"/>
    <cellStyle name="Millares 5" xfId="57"/>
    <cellStyle name="Millares 6" xfId="58"/>
    <cellStyle name="Millares 7" xfId="59"/>
    <cellStyle name="Millares 8" xfId="60"/>
    <cellStyle name="Currency" xfId="61"/>
    <cellStyle name="Currency [0]" xfId="62"/>
    <cellStyle name="Moneda 2" xfId="63"/>
    <cellStyle name="Moneda 3" xfId="64"/>
    <cellStyle name="Moneda 3 2" xfId="65"/>
    <cellStyle name="Moneda 4" xfId="66"/>
    <cellStyle name="Moneda 5" xfId="67"/>
    <cellStyle name="Moneda 6" xfId="68"/>
    <cellStyle name="Moneda 7" xfId="69"/>
    <cellStyle name="Neutral" xfId="70"/>
    <cellStyle name="Normal 10" xfId="71"/>
    <cellStyle name="Normal 11" xfId="72"/>
    <cellStyle name="Normal 13" xfId="73"/>
    <cellStyle name="Normal 14" xfId="74"/>
    <cellStyle name="Normal 15" xfId="75"/>
    <cellStyle name="Normal 2" xfId="76"/>
    <cellStyle name="Normal 3" xfId="77"/>
    <cellStyle name="Normal 3 2" xfId="78"/>
    <cellStyle name="Normal 4" xfId="79"/>
    <cellStyle name="Normal 8" xfId="80"/>
    <cellStyle name="Normal 9" xfId="81"/>
    <cellStyle name="Notas" xfId="82"/>
    <cellStyle name="Percent" xfId="83"/>
    <cellStyle name="Porcentaje 2" xfId="84"/>
    <cellStyle name="Porcentaje 3" xfId="85"/>
    <cellStyle name="Porcentaje 4" xfId="86"/>
    <cellStyle name="Porcentual 2" xfId="87"/>
    <cellStyle name="Porcentual 3" xfId="88"/>
    <cellStyle name="Porcentual 4" xfId="89"/>
    <cellStyle name="Salida" xfId="90"/>
    <cellStyle name="Texto de advertencia" xfId="91"/>
    <cellStyle name="Texto explicativo" xfId="92"/>
    <cellStyle name="Título" xfId="93"/>
    <cellStyle name="Título 1" xfId="94"/>
    <cellStyle name="Título 2" xfId="95"/>
    <cellStyle name="Título 3" xfId="96"/>
    <cellStyle name="Total"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LANES%20DE%20CONTRATACION%202011\Plan_Contratacion_Ecosistemas(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OA ENTIDAD"/>
      <sheetName val="2. CONTROL POA DEPENDENCIA"/>
      <sheetName val="3. DETALLE PLAN DE CONTRATACION"/>
      <sheetName val="4. SOLICITUD CDP"/>
      <sheetName val="Copia"/>
    </sheetNames>
    <sheetDataSet>
      <sheetData sheetId="2">
        <row r="493">
          <cell r="L493" t="str">
            <v>C.D. - Convenio Interadministrativo</v>
          </cell>
        </row>
        <row r="494">
          <cell r="L494" t="str">
            <v>C.D. - Proveedor exclusivo</v>
          </cell>
        </row>
        <row r="495">
          <cell r="L495" t="str">
            <v>C.D. - Prestación de Servicios</v>
          </cell>
        </row>
        <row r="496">
          <cell r="L496" t="str">
            <v>C.D. - Ciencia y Tecnología - Convenios de asociación</v>
          </cell>
        </row>
        <row r="497">
          <cell r="L497" t="str">
            <v>Selección abreviada - 10% menor cuantía</v>
          </cell>
        </row>
        <row r="498">
          <cell r="L498" t="str">
            <v>Selección abreviada de menor cuantía</v>
          </cell>
        </row>
        <row r="499">
          <cell r="L499" t="str">
            <v>Selección abreviada - Subasta Inversa</v>
          </cell>
        </row>
        <row r="500">
          <cell r="L500" t="str">
            <v>Licitación Pública</v>
          </cell>
        </row>
        <row r="501">
          <cell r="L501" t="str">
            <v>Concurso de Méritos</v>
          </cell>
        </row>
        <row r="502">
          <cell r="L502" t="str">
            <v>- No Requiere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22"/>
  <sheetViews>
    <sheetView zoomScale="98" zoomScaleNormal="98" zoomScalePageLayoutView="0" workbookViewId="0" topLeftCell="A13">
      <selection activeCell="I19" sqref="I19"/>
    </sheetView>
  </sheetViews>
  <sheetFormatPr defaultColWidth="11.421875" defaultRowHeight="12.75"/>
  <cols>
    <col min="1" max="1" width="14.28125" style="1" customWidth="1"/>
    <col min="2" max="2" width="35.57421875" style="2" customWidth="1"/>
    <col min="3" max="3" width="11.28125" style="8" customWidth="1"/>
    <col min="4" max="4" width="21.57421875" style="2" customWidth="1"/>
    <col min="5" max="5" width="13.140625" style="2" customWidth="1"/>
    <col min="6" max="6" width="11.28125" style="2" customWidth="1"/>
    <col min="7" max="7" width="11.8515625" style="28" customWidth="1"/>
    <col min="8" max="8" width="14.00390625" style="28" customWidth="1"/>
    <col min="9" max="9" width="12.7109375" style="8" customWidth="1"/>
    <col min="10" max="16384" width="11.421875" style="1" customWidth="1"/>
  </cols>
  <sheetData>
    <row r="1" spans="2:9" s="2" customFormat="1" ht="12.75" customHeight="1" hidden="1">
      <c r="B1" s="426"/>
      <c r="C1" s="426"/>
      <c r="D1" s="426"/>
      <c r="E1" s="426"/>
      <c r="F1" s="426"/>
      <c r="G1" s="426"/>
      <c r="H1" s="426"/>
      <c r="I1" s="427"/>
    </row>
    <row r="2" spans="2:9" s="2" customFormat="1" ht="12.75" customHeight="1" hidden="1">
      <c r="B2" s="426"/>
      <c r="C2" s="426"/>
      <c r="D2" s="426"/>
      <c r="E2" s="426"/>
      <c r="F2" s="426"/>
      <c r="G2" s="426"/>
      <c r="H2" s="426"/>
      <c r="I2" s="427"/>
    </row>
    <row r="3" spans="2:9" s="2" customFormat="1" ht="12.75" customHeight="1" hidden="1">
      <c r="B3" s="426"/>
      <c r="C3" s="426"/>
      <c r="D3" s="426"/>
      <c r="E3" s="426"/>
      <c r="F3" s="426"/>
      <c r="G3" s="426"/>
      <c r="H3" s="426"/>
      <c r="I3" s="427"/>
    </row>
    <row r="4" spans="2:9" s="2" customFormat="1" ht="12.75" hidden="1">
      <c r="B4" s="72"/>
      <c r="C4" s="22"/>
      <c r="D4" s="72"/>
      <c r="E4" s="72"/>
      <c r="F4" s="72"/>
      <c r="G4" s="27"/>
      <c r="H4" s="27"/>
      <c r="I4" s="22"/>
    </row>
    <row r="5" spans="2:9" s="2" customFormat="1" ht="12.75" hidden="1">
      <c r="B5" s="72"/>
      <c r="C5" s="22"/>
      <c r="D5" s="72"/>
      <c r="E5" s="72"/>
      <c r="F5" s="72"/>
      <c r="G5" s="27"/>
      <c r="H5" s="27"/>
      <c r="I5" s="22"/>
    </row>
    <row r="6" spans="2:9" s="2" customFormat="1" ht="12.75" hidden="1">
      <c r="B6" s="72"/>
      <c r="C6" s="22"/>
      <c r="D6" s="72"/>
      <c r="E6" s="72"/>
      <c r="F6" s="72"/>
      <c r="G6" s="27"/>
      <c r="H6" s="27"/>
      <c r="I6" s="22"/>
    </row>
    <row r="7" spans="2:9" s="2" customFormat="1" ht="12.75" customHeight="1" hidden="1">
      <c r="B7" s="426"/>
      <c r="C7" s="426"/>
      <c r="D7" s="426"/>
      <c r="E7" s="426"/>
      <c r="F7" s="426"/>
      <c r="G7" s="426"/>
      <c r="H7" s="426"/>
      <c r="I7" s="427"/>
    </row>
    <row r="8" spans="2:9" s="2" customFormat="1" ht="12.75" customHeight="1" hidden="1">
      <c r="B8" s="73"/>
      <c r="C8" s="73"/>
      <c r="D8" s="73"/>
      <c r="E8" s="73"/>
      <c r="F8" s="73"/>
      <c r="G8" s="71"/>
      <c r="H8" s="71"/>
      <c r="I8" s="22"/>
    </row>
    <row r="9" spans="2:9" s="2" customFormat="1" ht="12.75" customHeight="1" hidden="1">
      <c r="B9" s="70"/>
      <c r="C9" s="73"/>
      <c r="D9" s="70"/>
      <c r="E9" s="70"/>
      <c r="F9" s="70"/>
      <c r="G9" s="27"/>
      <c r="H9" s="27"/>
      <c r="I9" s="22"/>
    </row>
    <row r="10" spans="2:9" s="2" customFormat="1" ht="12.75" customHeight="1" hidden="1">
      <c r="B10" s="73"/>
      <c r="C10" s="73"/>
      <c r="D10" s="73"/>
      <c r="E10" s="73"/>
      <c r="F10" s="73"/>
      <c r="G10" s="71"/>
      <c r="H10" s="27"/>
      <c r="I10" s="22"/>
    </row>
    <row r="11" spans="2:9" s="2" customFormat="1" ht="12.75" hidden="1">
      <c r="B11" s="72"/>
      <c r="C11" s="22"/>
      <c r="D11" s="72"/>
      <c r="E11" s="72"/>
      <c r="F11" s="72"/>
      <c r="G11" s="27"/>
      <c r="H11" s="27"/>
      <c r="I11" s="73"/>
    </row>
    <row r="12" spans="2:9" s="2" customFormat="1" ht="12.75" hidden="1">
      <c r="B12" s="76"/>
      <c r="C12" s="75"/>
      <c r="D12" s="76"/>
      <c r="E12" s="76"/>
      <c r="F12" s="76"/>
      <c r="G12" s="77"/>
      <c r="H12" s="77"/>
      <c r="I12" s="75"/>
    </row>
    <row r="13" spans="2:9" s="2" customFormat="1" ht="36.75" customHeight="1">
      <c r="B13" s="429" t="s">
        <v>278</v>
      </c>
      <c r="C13" s="429"/>
      <c r="D13" s="429"/>
      <c r="E13" s="429"/>
      <c r="F13" s="429"/>
      <c r="G13" s="429"/>
      <c r="H13" s="429"/>
      <c r="I13" s="430"/>
    </row>
    <row r="14" spans="1:9" s="135" customFormat="1" ht="38.25" customHeight="1">
      <c r="A14" s="428" t="s">
        <v>246</v>
      </c>
      <c r="B14" s="428" t="s">
        <v>251</v>
      </c>
      <c r="C14" s="428" t="s">
        <v>218</v>
      </c>
      <c r="D14" s="428" t="s">
        <v>219</v>
      </c>
      <c r="E14" s="428" t="s">
        <v>241</v>
      </c>
      <c r="F14" s="428" t="s">
        <v>242</v>
      </c>
      <c r="G14" s="432" t="s">
        <v>243</v>
      </c>
      <c r="H14" s="431" t="s">
        <v>244</v>
      </c>
      <c r="I14" s="428" t="s">
        <v>245</v>
      </c>
    </row>
    <row r="15" spans="1:9" s="135" customFormat="1" ht="71.25" customHeight="1">
      <c r="A15" s="428" t="s">
        <v>246</v>
      </c>
      <c r="B15" s="428"/>
      <c r="C15" s="428"/>
      <c r="D15" s="428"/>
      <c r="E15" s="428"/>
      <c r="F15" s="428"/>
      <c r="G15" s="432"/>
      <c r="H15" s="431"/>
      <c r="I15" s="428"/>
    </row>
    <row r="16" spans="1:9" s="100" customFormat="1" ht="24.75" customHeight="1">
      <c r="A16" s="152"/>
      <c r="B16" s="94" t="s">
        <v>56</v>
      </c>
      <c r="C16" s="98"/>
      <c r="D16" s="97"/>
      <c r="E16" s="92"/>
      <c r="F16" s="93"/>
      <c r="G16" s="95"/>
      <c r="H16" s="96">
        <f>H17+H20</f>
        <v>14669200000</v>
      </c>
      <c r="I16" s="99"/>
    </row>
    <row r="17" spans="1:9" s="81" customFormat="1" ht="12.75">
      <c r="A17" s="153"/>
      <c r="B17" s="79" t="s">
        <v>57</v>
      </c>
      <c r="C17" s="84"/>
      <c r="D17" s="83"/>
      <c r="E17" s="82"/>
      <c r="F17" s="78"/>
      <c r="G17" s="80"/>
      <c r="H17" s="80">
        <f>SUM(H18:H19)</f>
        <v>63614616</v>
      </c>
      <c r="I17" s="84"/>
    </row>
    <row r="18" spans="1:9" s="11" customFormat="1" ht="16.5" customHeight="1">
      <c r="A18" s="4" t="s">
        <v>250</v>
      </c>
      <c r="B18" s="3" t="s">
        <v>255</v>
      </c>
      <c r="C18" s="14">
        <v>3</v>
      </c>
      <c r="D18" s="56" t="s">
        <v>37</v>
      </c>
      <c r="E18" s="13">
        <v>1</v>
      </c>
      <c r="F18" s="47" t="s">
        <v>70</v>
      </c>
      <c r="G18" s="25">
        <v>44000000</v>
      </c>
      <c r="H18" s="25">
        <v>18487000</v>
      </c>
      <c r="I18" s="259">
        <v>2</v>
      </c>
    </row>
    <row r="19" spans="1:9" s="11" customFormat="1" ht="13.5" customHeight="1">
      <c r="A19" s="4" t="s">
        <v>250</v>
      </c>
      <c r="B19" s="3" t="s">
        <v>159</v>
      </c>
      <c r="C19" s="14">
        <v>3</v>
      </c>
      <c r="D19" s="56" t="s">
        <v>38</v>
      </c>
      <c r="E19" s="13">
        <v>1</v>
      </c>
      <c r="F19" s="47" t="s">
        <v>70</v>
      </c>
      <c r="G19" s="25">
        <v>19000000</v>
      </c>
      <c r="H19" s="25">
        <v>45127616</v>
      </c>
      <c r="I19" s="259">
        <v>2</v>
      </c>
    </row>
    <row r="20" spans="1:9" s="81" customFormat="1" ht="12.75">
      <c r="A20" s="153"/>
      <c r="B20" s="79" t="s">
        <v>71</v>
      </c>
      <c r="C20" s="84"/>
      <c r="D20" s="83"/>
      <c r="E20" s="82"/>
      <c r="F20" s="78"/>
      <c r="G20" s="80"/>
      <c r="H20" s="80">
        <f>H21+H38+H47+H72+H129+H145+H153+H154+H156+H168+H172+H174+H197</f>
        <v>14605585384</v>
      </c>
      <c r="I20" s="84"/>
    </row>
    <row r="21" spans="1:9" s="88" customFormat="1" ht="12.75">
      <c r="A21" s="154"/>
      <c r="B21" s="86" t="s">
        <v>58</v>
      </c>
      <c r="C21" s="91"/>
      <c r="D21" s="90"/>
      <c r="E21" s="89"/>
      <c r="F21" s="85"/>
      <c r="G21" s="87"/>
      <c r="H21" s="101">
        <f>H22+H24+H27+H33</f>
        <v>2250146017</v>
      </c>
      <c r="I21" s="91"/>
    </row>
    <row r="22" spans="1:9" s="109" customFormat="1" ht="12.75">
      <c r="A22" s="155"/>
      <c r="B22" s="105" t="s">
        <v>207</v>
      </c>
      <c r="C22" s="102"/>
      <c r="D22" s="108"/>
      <c r="E22" s="103"/>
      <c r="F22" s="104"/>
      <c r="G22" s="106"/>
      <c r="H22" s="107">
        <f>SUM(H23:H23)</f>
        <v>506185791</v>
      </c>
      <c r="I22" s="102"/>
    </row>
    <row r="23" spans="1:9" s="11" customFormat="1" ht="37.5" customHeight="1">
      <c r="A23" s="4" t="s">
        <v>247</v>
      </c>
      <c r="B23" s="32" t="s">
        <v>279</v>
      </c>
      <c r="C23" s="33">
        <v>6</v>
      </c>
      <c r="D23" s="50" t="s">
        <v>39</v>
      </c>
      <c r="E23" s="15">
        <v>1</v>
      </c>
      <c r="F23" s="31" t="s">
        <v>48</v>
      </c>
      <c r="G23" s="34">
        <v>2500000</v>
      </c>
      <c r="H23" s="25">
        <f>309682762+196503029</f>
        <v>506185791</v>
      </c>
      <c r="I23" s="15">
        <v>6</v>
      </c>
    </row>
    <row r="24" spans="1:9" s="109" customFormat="1" ht="12.75">
      <c r="A24" s="155"/>
      <c r="B24" s="105" t="s">
        <v>220</v>
      </c>
      <c r="C24" s="110"/>
      <c r="D24" s="108"/>
      <c r="E24" s="103"/>
      <c r="F24" s="104"/>
      <c r="G24" s="106"/>
      <c r="H24" s="107">
        <f>SUM(H25:H26)</f>
        <v>712000000</v>
      </c>
      <c r="I24" s="111"/>
    </row>
    <row r="25" spans="1:9" s="11" customFormat="1" ht="90.75" customHeight="1">
      <c r="A25" s="4" t="s">
        <v>247</v>
      </c>
      <c r="B25" s="32" t="s">
        <v>74</v>
      </c>
      <c r="C25" s="33">
        <v>6</v>
      </c>
      <c r="D25" s="49" t="s">
        <v>107</v>
      </c>
      <c r="E25" s="15">
        <v>1</v>
      </c>
      <c r="F25" s="31" t="s">
        <v>48</v>
      </c>
      <c r="G25" s="34">
        <f>H25/E25</f>
        <v>379000000</v>
      </c>
      <c r="H25" s="34">
        <v>379000000</v>
      </c>
      <c r="I25" s="15">
        <v>7</v>
      </c>
    </row>
    <row r="26" spans="1:9" s="11" customFormat="1" ht="21" customHeight="1">
      <c r="A26" s="4" t="s">
        <v>247</v>
      </c>
      <c r="B26" s="35" t="s">
        <v>172</v>
      </c>
      <c r="C26" s="33">
        <v>6</v>
      </c>
      <c r="D26" s="49" t="s">
        <v>107</v>
      </c>
      <c r="E26" s="15">
        <v>4</v>
      </c>
      <c r="F26" s="31" t="s">
        <v>70</v>
      </c>
      <c r="G26" s="34">
        <f>H26/E26</f>
        <v>83250000</v>
      </c>
      <c r="H26" s="34">
        <v>333000000</v>
      </c>
      <c r="I26" s="266">
        <v>2</v>
      </c>
    </row>
    <row r="27" spans="1:9" s="109" customFormat="1" ht="18" customHeight="1">
      <c r="A27" s="155"/>
      <c r="B27" s="112" t="s">
        <v>182</v>
      </c>
      <c r="C27" s="102"/>
      <c r="D27" s="108"/>
      <c r="E27" s="103"/>
      <c r="F27" s="104"/>
      <c r="G27" s="106"/>
      <c r="H27" s="107">
        <f>SUM(H28:H32)</f>
        <v>160000000</v>
      </c>
      <c r="I27" s="102"/>
    </row>
    <row r="28" spans="1:9" s="11" customFormat="1" ht="11.25" customHeight="1">
      <c r="A28" s="4" t="s">
        <v>248</v>
      </c>
      <c r="B28" s="4" t="s">
        <v>79</v>
      </c>
      <c r="C28" s="14">
        <v>6</v>
      </c>
      <c r="D28" s="49" t="s">
        <v>40</v>
      </c>
      <c r="E28" s="13">
        <v>1</v>
      </c>
      <c r="F28" s="14" t="s">
        <v>70</v>
      </c>
      <c r="G28" s="34">
        <f aca="true" t="shared" si="0" ref="G28:G37">H28/E28</f>
        <v>25000000</v>
      </c>
      <c r="H28" s="25">
        <v>25000000</v>
      </c>
      <c r="I28" s="14">
        <v>5</v>
      </c>
    </row>
    <row r="29" spans="1:9" s="11" customFormat="1" ht="11.25" customHeight="1">
      <c r="A29" s="4" t="s">
        <v>248</v>
      </c>
      <c r="B29" s="4" t="s">
        <v>103</v>
      </c>
      <c r="C29" s="14">
        <v>6</v>
      </c>
      <c r="D29" s="49" t="s">
        <v>40</v>
      </c>
      <c r="E29" s="13">
        <v>1</v>
      </c>
      <c r="F29" s="14" t="s">
        <v>70</v>
      </c>
      <c r="G29" s="34">
        <f t="shared" si="0"/>
        <v>20000000</v>
      </c>
      <c r="H29" s="25">
        <v>20000000</v>
      </c>
      <c r="I29" s="14">
        <v>5</v>
      </c>
    </row>
    <row r="30" spans="1:9" s="11" customFormat="1" ht="11.25" customHeight="1">
      <c r="A30" s="4" t="s">
        <v>248</v>
      </c>
      <c r="B30" s="4" t="s">
        <v>104</v>
      </c>
      <c r="C30" s="14">
        <v>6</v>
      </c>
      <c r="D30" s="49" t="s">
        <v>40</v>
      </c>
      <c r="E30" s="13">
        <v>1</v>
      </c>
      <c r="F30" s="14" t="s">
        <v>70</v>
      </c>
      <c r="G30" s="34">
        <f t="shared" si="0"/>
        <v>60000000</v>
      </c>
      <c r="H30" s="25">
        <v>60000000</v>
      </c>
      <c r="I30" s="14">
        <v>5</v>
      </c>
    </row>
    <row r="31" spans="1:9" s="11" customFormat="1" ht="11.25" customHeight="1">
      <c r="A31" s="4" t="s">
        <v>248</v>
      </c>
      <c r="B31" s="4" t="s">
        <v>109</v>
      </c>
      <c r="C31" s="14">
        <v>6</v>
      </c>
      <c r="D31" s="49" t="s">
        <v>40</v>
      </c>
      <c r="E31" s="13">
        <v>11</v>
      </c>
      <c r="F31" s="14" t="s">
        <v>70</v>
      </c>
      <c r="G31" s="34">
        <f t="shared" si="0"/>
        <v>4363636.363636363</v>
      </c>
      <c r="H31" s="25">
        <v>48000000</v>
      </c>
      <c r="I31" s="14">
        <v>5</v>
      </c>
    </row>
    <row r="32" spans="1:9" s="11" customFormat="1" ht="11.25" customHeight="1">
      <c r="A32" s="4" t="s">
        <v>248</v>
      </c>
      <c r="B32" s="4" t="s">
        <v>110</v>
      </c>
      <c r="C32" s="14">
        <v>6</v>
      </c>
      <c r="D32" s="49" t="s">
        <v>40</v>
      </c>
      <c r="E32" s="13">
        <v>1</v>
      </c>
      <c r="F32" s="14" t="s">
        <v>70</v>
      </c>
      <c r="G32" s="34">
        <f t="shared" si="0"/>
        <v>7000000</v>
      </c>
      <c r="H32" s="25">
        <v>7000000</v>
      </c>
      <c r="I32" s="14">
        <v>5</v>
      </c>
    </row>
    <row r="33" spans="1:9" s="109" customFormat="1" ht="14.25" customHeight="1">
      <c r="A33" s="155"/>
      <c r="B33" s="112" t="s">
        <v>183</v>
      </c>
      <c r="C33" s="102"/>
      <c r="D33" s="108"/>
      <c r="E33" s="103"/>
      <c r="F33" s="104"/>
      <c r="G33" s="106"/>
      <c r="H33" s="107">
        <f>SUM(H34:H37)</f>
        <v>871960226</v>
      </c>
      <c r="I33" s="102"/>
    </row>
    <row r="34" spans="1:9" s="11" customFormat="1" ht="15.75" customHeight="1">
      <c r="A34" s="4" t="s">
        <v>249</v>
      </c>
      <c r="B34" s="4" t="s">
        <v>3</v>
      </c>
      <c r="C34" s="14"/>
      <c r="D34" s="49" t="s">
        <v>41</v>
      </c>
      <c r="E34" s="13">
        <v>1</v>
      </c>
      <c r="F34" s="47" t="s">
        <v>70</v>
      </c>
      <c r="G34" s="34">
        <f t="shared" si="0"/>
        <v>350000000</v>
      </c>
      <c r="H34" s="25">
        <v>350000000</v>
      </c>
      <c r="I34" s="14">
        <v>6</v>
      </c>
    </row>
    <row r="35" spans="1:9" s="11" customFormat="1" ht="33.75" customHeight="1">
      <c r="A35" s="4"/>
      <c r="B35" s="256" t="s">
        <v>8</v>
      </c>
      <c r="C35" s="15">
        <v>6</v>
      </c>
      <c r="D35" s="49" t="s">
        <v>239</v>
      </c>
      <c r="E35" s="22">
        <v>1</v>
      </c>
      <c r="F35" s="31" t="s">
        <v>70</v>
      </c>
      <c r="G35" s="34">
        <f t="shared" si="0"/>
        <v>100000000</v>
      </c>
      <c r="H35" s="261">
        <v>100000000</v>
      </c>
      <c r="I35" s="14"/>
    </row>
    <row r="36" spans="1:9" s="11" customFormat="1" ht="63.75" customHeight="1">
      <c r="A36" s="4" t="s">
        <v>252</v>
      </c>
      <c r="B36" s="37" t="s">
        <v>273</v>
      </c>
      <c r="C36" s="15">
        <v>6</v>
      </c>
      <c r="D36" s="49" t="s">
        <v>41</v>
      </c>
      <c r="E36" s="16">
        <v>1</v>
      </c>
      <c r="F36" s="31" t="s">
        <v>48</v>
      </c>
      <c r="G36" s="34">
        <f t="shared" si="0"/>
        <v>418960226</v>
      </c>
      <c r="H36" s="29">
        <v>418960226</v>
      </c>
      <c r="I36" s="259">
        <v>3</v>
      </c>
    </row>
    <row r="37" spans="1:9" s="11" customFormat="1" ht="12.75">
      <c r="A37" s="4" t="s">
        <v>249</v>
      </c>
      <c r="B37" s="37" t="s">
        <v>4</v>
      </c>
      <c r="C37" s="15">
        <v>6</v>
      </c>
      <c r="D37" s="49" t="s">
        <v>41</v>
      </c>
      <c r="E37" s="16">
        <v>1</v>
      </c>
      <c r="F37" s="31" t="s">
        <v>70</v>
      </c>
      <c r="G37" s="34">
        <f t="shared" si="0"/>
        <v>3000000</v>
      </c>
      <c r="H37" s="29">
        <v>3000000</v>
      </c>
      <c r="I37" s="259">
        <v>4</v>
      </c>
    </row>
    <row r="38" spans="1:9" s="88" customFormat="1" ht="12.75">
      <c r="A38" s="154"/>
      <c r="B38" s="122" t="s">
        <v>179</v>
      </c>
      <c r="C38" s="119"/>
      <c r="D38" s="125"/>
      <c r="E38" s="120"/>
      <c r="F38" s="121"/>
      <c r="G38" s="123"/>
      <c r="H38" s="124">
        <f>H39+H41+H45</f>
        <v>511500000</v>
      </c>
      <c r="I38" s="119"/>
    </row>
    <row r="39" spans="1:9" s="109" customFormat="1" ht="12.75">
      <c r="A39" s="155"/>
      <c r="B39" s="114" t="s">
        <v>151</v>
      </c>
      <c r="C39" s="118"/>
      <c r="D39" s="117"/>
      <c r="E39" s="111"/>
      <c r="F39" s="113"/>
      <c r="G39" s="115"/>
      <c r="H39" s="116">
        <f>SUM(H40:H40)</f>
        <v>40000000</v>
      </c>
      <c r="I39" s="118"/>
    </row>
    <row r="40" spans="1:9" s="11" customFormat="1" ht="42" customHeight="1">
      <c r="A40" s="4" t="s">
        <v>249</v>
      </c>
      <c r="B40" s="39" t="s">
        <v>80</v>
      </c>
      <c r="C40" s="15">
        <v>6</v>
      </c>
      <c r="D40" s="49" t="s">
        <v>108</v>
      </c>
      <c r="E40" s="22">
        <v>1</v>
      </c>
      <c r="F40" s="31" t="s">
        <v>48</v>
      </c>
      <c r="G40" s="34">
        <f aca="true" t="shared" si="1" ref="G40:G46">H40/E40</f>
        <v>40000000</v>
      </c>
      <c r="H40" s="45">
        <v>40000000</v>
      </c>
      <c r="I40" s="233">
        <v>4</v>
      </c>
    </row>
    <row r="41" spans="1:9" s="136" customFormat="1" ht="12.75">
      <c r="A41" s="156"/>
      <c r="B41" s="158" t="s">
        <v>98</v>
      </c>
      <c r="C41" s="159"/>
      <c r="D41" s="160"/>
      <c r="E41" s="161"/>
      <c r="F41" s="162"/>
      <c r="G41" s="163"/>
      <c r="H41" s="164">
        <f>SUM(H42:H44)</f>
        <v>441500000</v>
      </c>
      <c r="I41" s="165"/>
    </row>
    <row r="42" spans="1:9" s="11" customFormat="1" ht="39.75" customHeight="1">
      <c r="A42" s="4" t="s">
        <v>249</v>
      </c>
      <c r="B42" s="39" t="s">
        <v>277</v>
      </c>
      <c r="C42" s="15">
        <v>6</v>
      </c>
      <c r="D42" s="49" t="s">
        <v>42</v>
      </c>
      <c r="E42" s="16">
        <v>1</v>
      </c>
      <c r="F42" s="31" t="s">
        <v>48</v>
      </c>
      <c r="G42" s="34">
        <f t="shared" si="1"/>
        <v>179000000</v>
      </c>
      <c r="H42" s="45">
        <f>220000000-50000000+9000000</f>
        <v>179000000</v>
      </c>
      <c r="I42" s="233">
        <v>7</v>
      </c>
    </row>
    <row r="43" spans="1:9" s="11" customFormat="1" ht="30.75" customHeight="1">
      <c r="A43" s="4" t="s">
        <v>249</v>
      </c>
      <c r="B43" s="39" t="s">
        <v>6</v>
      </c>
      <c r="C43" s="15">
        <v>6</v>
      </c>
      <c r="D43" s="49" t="s">
        <v>42</v>
      </c>
      <c r="E43" s="16">
        <v>1</v>
      </c>
      <c r="F43" s="31" t="s">
        <v>48</v>
      </c>
      <c r="G43" s="34">
        <f t="shared" si="1"/>
        <v>162500000</v>
      </c>
      <c r="H43" s="45">
        <v>162500000</v>
      </c>
      <c r="I43" s="33">
        <v>7</v>
      </c>
    </row>
    <row r="44" spans="1:9" s="11" customFormat="1" ht="38.25">
      <c r="A44" s="4" t="s">
        <v>249</v>
      </c>
      <c r="B44" s="39" t="s">
        <v>5</v>
      </c>
      <c r="C44" s="15">
        <v>6</v>
      </c>
      <c r="D44" s="49" t="s">
        <v>42</v>
      </c>
      <c r="E44" s="16">
        <v>1</v>
      </c>
      <c r="F44" s="31" t="s">
        <v>48</v>
      </c>
      <c r="G44" s="34">
        <f t="shared" si="1"/>
        <v>100000000</v>
      </c>
      <c r="H44" s="45">
        <v>100000000</v>
      </c>
      <c r="I44" s="33">
        <v>7</v>
      </c>
    </row>
    <row r="45" spans="1:9" s="136" customFormat="1" ht="12.75">
      <c r="A45" s="156"/>
      <c r="B45" s="158" t="s">
        <v>206</v>
      </c>
      <c r="C45" s="159"/>
      <c r="D45" s="166"/>
      <c r="E45" s="167"/>
      <c r="F45" s="162"/>
      <c r="G45" s="163"/>
      <c r="H45" s="164">
        <f>SUM(H46:H46)</f>
        <v>30000000</v>
      </c>
      <c r="I45" s="165"/>
    </row>
    <row r="46" spans="1:9" s="11" customFormat="1" ht="25.5">
      <c r="A46" s="4" t="s">
        <v>249</v>
      </c>
      <c r="B46" s="36" t="s">
        <v>7</v>
      </c>
      <c r="C46" s="15">
        <v>6</v>
      </c>
      <c r="D46" s="49" t="s">
        <v>239</v>
      </c>
      <c r="E46" s="22">
        <v>1</v>
      </c>
      <c r="F46" s="31" t="s">
        <v>48</v>
      </c>
      <c r="G46" s="34">
        <f t="shared" si="1"/>
        <v>30000000</v>
      </c>
      <c r="H46" s="45">
        <v>30000000</v>
      </c>
      <c r="I46" s="233">
        <v>6</v>
      </c>
    </row>
    <row r="47" spans="1:9" s="88" customFormat="1" ht="12.75">
      <c r="A47" s="154"/>
      <c r="B47" s="86" t="s">
        <v>59</v>
      </c>
      <c r="C47" s="91"/>
      <c r="D47" s="90"/>
      <c r="E47" s="89"/>
      <c r="F47" s="85"/>
      <c r="G47" s="87"/>
      <c r="H47" s="87">
        <f>H48+H51+H58+H60+H62+H68+H69</f>
        <v>1606300000</v>
      </c>
      <c r="I47" s="91"/>
    </row>
    <row r="48" spans="1:9" s="109" customFormat="1" ht="12.75">
      <c r="A48" s="155"/>
      <c r="B48" s="105" t="s">
        <v>72</v>
      </c>
      <c r="C48" s="128"/>
      <c r="D48" s="129"/>
      <c r="E48" s="126"/>
      <c r="F48" s="127"/>
      <c r="G48" s="107"/>
      <c r="H48" s="107">
        <f>SUM(H49:H50)</f>
        <v>315428425</v>
      </c>
      <c r="I48" s="128"/>
    </row>
    <row r="49" spans="1:9" s="11" customFormat="1" ht="13.5" customHeight="1">
      <c r="A49" s="4" t="s">
        <v>252</v>
      </c>
      <c r="B49" s="3" t="s">
        <v>166</v>
      </c>
      <c r="C49" s="14">
        <v>6</v>
      </c>
      <c r="D49" s="49" t="s">
        <v>44</v>
      </c>
      <c r="E49" s="40">
        <v>1</v>
      </c>
      <c r="F49" s="47" t="s">
        <v>48</v>
      </c>
      <c r="G49" s="34">
        <f>H49/E49</f>
        <v>205428425</v>
      </c>
      <c r="H49" s="25">
        <f>335428425-170000000+40000000</f>
        <v>205428425</v>
      </c>
      <c r="I49" s="259">
        <v>2</v>
      </c>
    </row>
    <row r="50" spans="1:9" s="11" customFormat="1" ht="14.25" customHeight="1">
      <c r="A50" s="4" t="s">
        <v>249</v>
      </c>
      <c r="B50" s="3" t="s">
        <v>50</v>
      </c>
      <c r="C50" s="14">
        <v>6</v>
      </c>
      <c r="D50" s="49" t="s">
        <v>44</v>
      </c>
      <c r="E50" s="40">
        <v>1</v>
      </c>
      <c r="F50" s="47" t="s">
        <v>48</v>
      </c>
      <c r="G50" s="34">
        <f>H50/E50</f>
        <v>110000000</v>
      </c>
      <c r="H50" s="25">
        <v>110000000</v>
      </c>
      <c r="I50" s="259">
        <v>3</v>
      </c>
    </row>
    <row r="51" spans="1:9" s="109" customFormat="1" ht="12.75">
      <c r="A51" s="155"/>
      <c r="B51" s="105" t="s">
        <v>168</v>
      </c>
      <c r="C51" s="102"/>
      <c r="D51" s="129"/>
      <c r="E51" s="126"/>
      <c r="F51" s="127"/>
      <c r="G51" s="107"/>
      <c r="H51" s="107">
        <f>H52+H54+H56</f>
        <v>278300000</v>
      </c>
      <c r="I51" s="128"/>
    </row>
    <row r="52" spans="1:9" s="24" customFormat="1" ht="12.75">
      <c r="A52" s="69"/>
      <c r="B52" s="5" t="s">
        <v>169</v>
      </c>
      <c r="C52" s="9"/>
      <c r="D52" s="55"/>
      <c r="E52" s="12"/>
      <c r="F52" s="58"/>
      <c r="G52" s="23"/>
      <c r="H52" s="23">
        <f>SUM(H53:H53)</f>
        <v>206500000</v>
      </c>
      <c r="I52" s="9"/>
    </row>
    <row r="53" spans="1:9" s="11" customFormat="1" ht="25.5" customHeight="1">
      <c r="A53" s="4" t="s">
        <v>256</v>
      </c>
      <c r="B53" s="3" t="s">
        <v>253</v>
      </c>
      <c r="C53" s="14">
        <v>6</v>
      </c>
      <c r="D53" s="49" t="s">
        <v>43</v>
      </c>
      <c r="E53" s="26" t="s">
        <v>105</v>
      </c>
      <c r="F53" s="47" t="s">
        <v>48</v>
      </c>
      <c r="G53" s="34">
        <f>H53/E53</f>
        <v>206500000</v>
      </c>
      <c r="H53" s="27">
        <f>40000000+35000000+60500000+71000000</f>
        <v>206500000</v>
      </c>
      <c r="I53" s="268">
        <v>4</v>
      </c>
    </row>
    <row r="54" spans="1:9" s="24" customFormat="1" ht="12.75">
      <c r="A54" s="69"/>
      <c r="B54" s="5" t="s">
        <v>170</v>
      </c>
      <c r="C54" s="14">
        <v>6</v>
      </c>
      <c r="D54" s="49" t="s">
        <v>43</v>
      </c>
      <c r="E54" s="12"/>
      <c r="F54" s="58"/>
      <c r="G54" s="30"/>
      <c r="H54" s="23">
        <f>SUM(H55:H55)</f>
        <v>66800000</v>
      </c>
      <c r="I54" s="259">
        <v>4</v>
      </c>
    </row>
    <row r="55" spans="1:9" s="11" customFormat="1" ht="76.5">
      <c r="A55" s="4" t="s">
        <v>249</v>
      </c>
      <c r="B55" s="3" t="s">
        <v>259</v>
      </c>
      <c r="C55" s="14">
        <v>6</v>
      </c>
      <c r="D55" s="49" t="s">
        <v>43</v>
      </c>
      <c r="E55" s="13">
        <v>1</v>
      </c>
      <c r="F55" s="47" t="s">
        <v>48</v>
      </c>
      <c r="G55" s="34">
        <f>H55/E55</f>
        <v>66800000</v>
      </c>
      <c r="H55" s="25">
        <f>50000000+16800000</f>
        <v>66800000</v>
      </c>
      <c r="I55" s="268">
        <v>4</v>
      </c>
    </row>
    <row r="56" spans="1:9" s="24" customFormat="1" ht="14.25" customHeight="1">
      <c r="A56" s="4" t="s">
        <v>257</v>
      </c>
      <c r="B56" s="5" t="s">
        <v>171</v>
      </c>
      <c r="C56" s="9"/>
      <c r="D56" s="52"/>
      <c r="E56" s="12"/>
      <c r="F56" s="58"/>
      <c r="G56" s="30"/>
      <c r="H56" s="23">
        <f>SUM(H57:H57)</f>
        <v>5000000</v>
      </c>
      <c r="I56" s="269"/>
    </row>
    <row r="57" spans="1:9" s="11" customFormat="1" ht="51">
      <c r="A57" s="4"/>
      <c r="B57" s="3" t="s">
        <v>78</v>
      </c>
      <c r="C57" s="14">
        <v>6</v>
      </c>
      <c r="D57" s="49" t="s">
        <v>43</v>
      </c>
      <c r="E57" s="13">
        <v>1</v>
      </c>
      <c r="F57" s="47" t="s">
        <v>48</v>
      </c>
      <c r="G57" s="34">
        <f>H57/E57</f>
        <v>5000000</v>
      </c>
      <c r="H57" s="25">
        <v>5000000</v>
      </c>
      <c r="I57" s="259">
        <v>4</v>
      </c>
    </row>
    <row r="58" spans="1:9" s="109" customFormat="1" ht="15" customHeight="1">
      <c r="A58" s="155" t="s">
        <v>249</v>
      </c>
      <c r="B58" s="105" t="s">
        <v>167</v>
      </c>
      <c r="C58" s="128"/>
      <c r="D58" s="108" t="s">
        <v>133</v>
      </c>
      <c r="E58" s="126">
        <v>1</v>
      </c>
      <c r="F58" s="127" t="s">
        <v>48</v>
      </c>
      <c r="G58" s="107"/>
      <c r="H58" s="107">
        <v>30000000</v>
      </c>
      <c r="I58" s="128"/>
    </row>
    <row r="59" spans="1:9" s="109" customFormat="1" ht="15" customHeight="1">
      <c r="A59" s="155"/>
      <c r="B59" s="105"/>
      <c r="C59" s="128"/>
      <c r="D59" s="108"/>
      <c r="E59" s="126"/>
      <c r="F59" s="127"/>
      <c r="G59" s="107"/>
      <c r="H59" s="107"/>
      <c r="I59" s="128"/>
    </row>
    <row r="60" spans="1:9" s="109" customFormat="1" ht="15" customHeight="1">
      <c r="A60" s="155"/>
      <c r="B60" s="105" t="s">
        <v>230</v>
      </c>
      <c r="C60" s="128"/>
      <c r="D60" s="129"/>
      <c r="E60" s="126"/>
      <c r="F60" s="127"/>
      <c r="G60" s="107"/>
      <c r="H60" s="107">
        <f>SUM(H61:H61)</f>
        <v>108933552</v>
      </c>
      <c r="I60" s="128"/>
    </row>
    <row r="61" spans="1:9" s="11" customFormat="1" ht="241.5" customHeight="1">
      <c r="A61" s="4" t="s">
        <v>252</v>
      </c>
      <c r="B61" s="6" t="s">
        <v>106</v>
      </c>
      <c r="C61" s="14">
        <v>6</v>
      </c>
      <c r="D61" s="49" t="s">
        <v>45</v>
      </c>
      <c r="E61" s="13">
        <v>1</v>
      </c>
      <c r="F61" s="47" t="s">
        <v>48</v>
      </c>
      <c r="G61" s="34">
        <f aca="true" t="shared" si="2" ref="G61:G67">H61/E61</f>
        <v>108933552</v>
      </c>
      <c r="H61" s="25">
        <v>108933552</v>
      </c>
      <c r="I61" s="14">
        <v>5</v>
      </c>
    </row>
    <row r="62" spans="1:9" s="136" customFormat="1" ht="25.5" customHeight="1">
      <c r="A62" s="156"/>
      <c r="B62" s="169" t="s">
        <v>116</v>
      </c>
      <c r="C62" s="145"/>
      <c r="D62" s="170"/>
      <c r="E62" s="147"/>
      <c r="F62" s="148"/>
      <c r="G62" s="149"/>
      <c r="H62" s="149">
        <f>SUM(H63:H67)</f>
        <v>180000000</v>
      </c>
      <c r="I62" s="145"/>
    </row>
    <row r="63" spans="1:9" s="11" customFormat="1" ht="12.75">
      <c r="A63" s="4" t="s">
        <v>248</v>
      </c>
      <c r="B63" s="3" t="s">
        <v>111</v>
      </c>
      <c r="C63" s="14">
        <v>6</v>
      </c>
      <c r="D63" s="49" t="s">
        <v>46</v>
      </c>
      <c r="E63" s="13">
        <v>1</v>
      </c>
      <c r="F63" s="168" t="s">
        <v>48</v>
      </c>
      <c r="G63" s="34">
        <f t="shared" si="2"/>
        <v>35000000</v>
      </c>
      <c r="H63" s="25">
        <v>35000000</v>
      </c>
      <c r="I63" s="259">
        <v>3</v>
      </c>
    </row>
    <row r="64" spans="1:9" s="11" customFormat="1" ht="12.75">
      <c r="A64" s="4" t="s">
        <v>248</v>
      </c>
      <c r="B64" s="3" t="s">
        <v>115</v>
      </c>
      <c r="C64" s="14">
        <v>6</v>
      </c>
      <c r="D64" s="49" t="s">
        <v>46</v>
      </c>
      <c r="E64" s="13">
        <v>1</v>
      </c>
      <c r="F64" s="47" t="s">
        <v>48</v>
      </c>
      <c r="G64" s="34">
        <f t="shared" si="2"/>
        <v>70000000</v>
      </c>
      <c r="H64" s="25">
        <v>70000000</v>
      </c>
      <c r="I64" s="259">
        <v>3</v>
      </c>
    </row>
    <row r="65" spans="1:9" s="11" customFormat="1" ht="12.75">
      <c r="A65" s="4" t="s">
        <v>248</v>
      </c>
      <c r="B65" s="3" t="s">
        <v>112</v>
      </c>
      <c r="C65" s="14">
        <v>6</v>
      </c>
      <c r="D65" s="49" t="s">
        <v>46</v>
      </c>
      <c r="E65" s="13">
        <v>1</v>
      </c>
      <c r="F65" s="47" t="s">
        <v>48</v>
      </c>
      <c r="G65" s="34">
        <f t="shared" si="2"/>
        <v>15000000</v>
      </c>
      <c r="H65" s="25">
        <v>15000000</v>
      </c>
      <c r="I65" s="259">
        <v>3</v>
      </c>
    </row>
    <row r="66" spans="1:9" s="11" customFormat="1" ht="15" customHeight="1">
      <c r="A66" s="4" t="s">
        <v>248</v>
      </c>
      <c r="B66" s="3" t="s">
        <v>113</v>
      </c>
      <c r="C66" s="14">
        <v>6</v>
      </c>
      <c r="D66" s="49" t="s">
        <v>46</v>
      </c>
      <c r="E66" s="13">
        <v>1</v>
      </c>
      <c r="F66" s="47" t="s">
        <v>48</v>
      </c>
      <c r="G66" s="34">
        <f t="shared" si="2"/>
        <v>20000000</v>
      </c>
      <c r="H66" s="25">
        <v>20000000</v>
      </c>
      <c r="I66" s="259">
        <v>3</v>
      </c>
    </row>
    <row r="67" spans="1:9" s="11" customFormat="1" ht="15.75" customHeight="1">
      <c r="A67" s="4" t="s">
        <v>248</v>
      </c>
      <c r="B67" s="6" t="s">
        <v>114</v>
      </c>
      <c r="C67" s="14">
        <v>6</v>
      </c>
      <c r="D67" s="49" t="s">
        <v>46</v>
      </c>
      <c r="E67" s="13">
        <v>1</v>
      </c>
      <c r="F67" s="47" t="s">
        <v>48</v>
      </c>
      <c r="G67" s="34">
        <f t="shared" si="2"/>
        <v>40000000</v>
      </c>
      <c r="H67" s="25">
        <v>40000000</v>
      </c>
      <c r="I67" s="259">
        <v>3</v>
      </c>
    </row>
    <row r="68" spans="1:9" s="136" customFormat="1" ht="39.75" customHeight="1">
      <c r="A68" s="156"/>
      <c r="B68" s="144" t="s">
        <v>99</v>
      </c>
      <c r="C68" s="138"/>
      <c r="D68" s="143"/>
      <c r="E68" s="140"/>
      <c r="F68" s="141"/>
      <c r="G68" s="142"/>
      <c r="H68" s="149">
        <v>106200000</v>
      </c>
      <c r="I68" s="138"/>
    </row>
    <row r="69" spans="1:9" s="136" customFormat="1" ht="16.5" customHeight="1">
      <c r="A69" s="156"/>
      <c r="B69" s="169" t="s">
        <v>180</v>
      </c>
      <c r="C69" s="138"/>
      <c r="D69" s="179"/>
      <c r="E69" s="140"/>
      <c r="F69" s="141"/>
      <c r="G69" s="142"/>
      <c r="H69" s="180">
        <f>SUM(H70:H71)</f>
        <v>587438023</v>
      </c>
      <c r="I69" s="138">
        <v>2</v>
      </c>
    </row>
    <row r="70" spans="1:9" s="11" customFormat="1" ht="27.75" customHeight="1">
      <c r="A70" s="4" t="s">
        <v>262</v>
      </c>
      <c r="B70" s="3" t="s">
        <v>9</v>
      </c>
      <c r="C70" s="14">
        <v>6</v>
      </c>
      <c r="D70" s="49" t="s">
        <v>47</v>
      </c>
      <c r="E70" s="13">
        <v>1</v>
      </c>
      <c r="F70" s="47" t="s">
        <v>48</v>
      </c>
      <c r="G70" s="34">
        <f>H70/E70</f>
        <v>500000000</v>
      </c>
      <c r="H70" s="27">
        <v>500000000</v>
      </c>
      <c r="I70" s="14">
        <v>6</v>
      </c>
    </row>
    <row r="71" spans="1:9" s="11" customFormat="1" ht="36.75" customHeight="1">
      <c r="A71" s="4" t="s">
        <v>252</v>
      </c>
      <c r="B71" s="7" t="s">
        <v>254</v>
      </c>
      <c r="C71" s="14">
        <v>6</v>
      </c>
      <c r="D71" s="49" t="s">
        <v>47</v>
      </c>
      <c r="E71" s="19">
        <v>15</v>
      </c>
      <c r="F71" s="47" t="s">
        <v>70</v>
      </c>
      <c r="G71" s="34">
        <f>H71/E71</f>
        <v>5829201.533333333</v>
      </c>
      <c r="H71" s="27">
        <f>128000000-8400000-32161977</f>
        <v>87438023</v>
      </c>
      <c r="I71" s="14">
        <v>7</v>
      </c>
    </row>
    <row r="72" spans="1:9" s="178" customFormat="1" ht="12.75">
      <c r="A72" s="171"/>
      <c r="B72" s="172" t="s">
        <v>60</v>
      </c>
      <c r="C72" s="173"/>
      <c r="D72" s="174"/>
      <c r="E72" s="173"/>
      <c r="F72" s="175"/>
      <c r="G72" s="176"/>
      <c r="H72" s="176">
        <f>H73+H75+H82+H88+H91+H93+H95+H98</f>
        <v>4485691118</v>
      </c>
      <c r="I72" s="177"/>
    </row>
    <row r="73" spans="1:9" s="136" customFormat="1" ht="12.75">
      <c r="A73" s="156"/>
      <c r="B73" s="169" t="s">
        <v>146</v>
      </c>
      <c r="C73" s="145"/>
      <c r="D73" s="170"/>
      <c r="E73" s="140"/>
      <c r="F73" s="141"/>
      <c r="G73" s="142"/>
      <c r="H73" s="149">
        <f>SUM(H74:H74)</f>
        <v>72000000</v>
      </c>
      <c r="I73" s="145"/>
    </row>
    <row r="74" spans="1:9" s="11" customFormat="1" ht="38.25" customHeight="1">
      <c r="A74" s="4" t="s">
        <v>249</v>
      </c>
      <c r="B74" s="3" t="s">
        <v>134</v>
      </c>
      <c r="C74" s="14">
        <v>3</v>
      </c>
      <c r="D74" s="49" t="s">
        <v>184</v>
      </c>
      <c r="E74" s="33">
        <v>1</v>
      </c>
      <c r="F74" s="47" t="s">
        <v>49</v>
      </c>
      <c r="G74" s="34">
        <f aca="true" t="shared" si="3" ref="G74:G97">H74/E74</f>
        <v>72000000</v>
      </c>
      <c r="H74" s="25">
        <v>72000000</v>
      </c>
      <c r="I74" s="18">
        <v>3</v>
      </c>
    </row>
    <row r="75" spans="1:9" s="136" customFormat="1" ht="25.5">
      <c r="A75" s="156"/>
      <c r="B75" s="169" t="s">
        <v>147</v>
      </c>
      <c r="C75" s="145"/>
      <c r="D75" s="170"/>
      <c r="E75" s="140"/>
      <c r="F75" s="141"/>
      <c r="G75" s="142"/>
      <c r="H75" s="149">
        <f>SUM(H76:H81)</f>
        <v>226000000</v>
      </c>
      <c r="I75" s="145"/>
    </row>
    <row r="76" spans="1:9" s="11" customFormat="1" ht="38.25">
      <c r="A76" s="4" t="s">
        <v>249</v>
      </c>
      <c r="B76" s="7" t="s">
        <v>138</v>
      </c>
      <c r="C76" s="14">
        <v>6</v>
      </c>
      <c r="D76" s="49" t="s">
        <v>185</v>
      </c>
      <c r="E76" s="16">
        <v>1</v>
      </c>
      <c r="F76" s="31" t="s">
        <v>48</v>
      </c>
      <c r="G76" s="34">
        <f t="shared" si="3"/>
        <v>111000000</v>
      </c>
      <c r="H76" s="27">
        <f>120000000-9000000</f>
        <v>111000000</v>
      </c>
      <c r="I76" s="14">
        <v>7</v>
      </c>
    </row>
    <row r="77" spans="1:9" s="11" customFormat="1" ht="12.75">
      <c r="A77" s="4" t="s">
        <v>249</v>
      </c>
      <c r="B77" s="7" t="s">
        <v>139</v>
      </c>
      <c r="C77" s="14">
        <v>6</v>
      </c>
      <c r="D77" s="49" t="s">
        <v>185</v>
      </c>
      <c r="E77" s="16">
        <v>1</v>
      </c>
      <c r="F77" s="31" t="s">
        <v>48</v>
      </c>
      <c r="G77" s="34">
        <f t="shared" si="3"/>
        <v>40000000</v>
      </c>
      <c r="H77" s="27">
        <v>40000000</v>
      </c>
      <c r="I77" s="14">
        <v>3</v>
      </c>
    </row>
    <row r="78" spans="1:9" s="11" customFormat="1" ht="12.75">
      <c r="A78" s="4" t="s">
        <v>249</v>
      </c>
      <c r="B78" s="3" t="s">
        <v>140</v>
      </c>
      <c r="C78" s="14">
        <v>6</v>
      </c>
      <c r="D78" s="49" t="s">
        <v>185</v>
      </c>
      <c r="E78" s="17">
        <v>1</v>
      </c>
      <c r="F78" s="47" t="s">
        <v>48</v>
      </c>
      <c r="G78" s="34">
        <f t="shared" si="3"/>
        <v>15000000</v>
      </c>
      <c r="H78" s="25">
        <v>15000000</v>
      </c>
      <c r="I78" s="18">
        <v>3</v>
      </c>
    </row>
    <row r="79" spans="1:9" s="11" customFormat="1" ht="12.75">
      <c r="A79" s="4" t="s">
        <v>249</v>
      </c>
      <c r="B79" s="3" t="s">
        <v>141</v>
      </c>
      <c r="C79" s="14">
        <v>6</v>
      </c>
      <c r="D79" s="49" t="s">
        <v>185</v>
      </c>
      <c r="E79" s="17">
        <v>1</v>
      </c>
      <c r="F79" s="47" t="s">
        <v>48</v>
      </c>
      <c r="G79" s="34">
        <f t="shared" si="3"/>
        <v>10000000</v>
      </c>
      <c r="H79" s="25">
        <v>10000000</v>
      </c>
      <c r="I79" s="18">
        <v>8</v>
      </c>
    </row>
    <row r="80" spans="1:9" s="11" customFormat="1" ht="34.5" customHeight="1">
      <c r="A80" s="4" t="s">
        <v>249</v>
      </c>
      <c r="B80" s="3" t="s">
        <v>142</v>
      </c>
      <c r="C80" s="14">
        <v>6</v>
      </c>
      <c r="D80" s="49" t="s">
        <v>185</v>
      </c>
      <c r="E80" s="13">
        <v>1</v>
      </c>
      <c r="F80" s="47" t="s">
        <v>48</v>
      </c>
      <c r="G80" s="34">
        <f t="shared" si="3"/>
        <v>30000000</v>
      </c>
      <c r="H80" s="25">
        <v>30000000</v>
      </c>
      <c r="I80" s="14">
        <v>7</v>
      </c>
    </row>
    <row r="81" spans="1:9" s="11" customFormat="1" ht="16.5" customHeight="1">
      <c r="A81" s="4" t="s">
        <v>249</v>
      </c>
      <c r="B81" s="3" t="s">
        <v>143</v>
      </c>
      <c r="C81" s="14">
        <v>6</v>
      </c>
      <c r="D81" s="49" t="s">
        <v>185</v>
      </c>
      <c r="E81" s="13">
        <v>1</v>
      </c>
      <c r="F81" s="47" t="s">
        <v>48</v>
      </c>
      <c r="G81" s="34">
        <f t="shared" si="3"/>
        <v>20000000</v>
      </c>
      <c r="H81" s="25">
        <v>20000000</v>
      </c>
      <c r="I81" s="14">
        <v>7</v>
      </c>
    </row>
    <row r="82" spans="1:9" s="136" customFormat="1" ht="25.5">
      <c r="A82" s="156"/>
      <c r="B82" s="169" t="s">
        <v>148</v>
      </c>
      <c r="C82" s="145"/>
      <c r="D82" s="170"/>
      <c r="E82" s="140"/>
      <c r="F82" s="141"/>
      <c r="G82" s="34"/>
      <c r="H82" s="149">
        <f>SUM(H83:H87)</f>
        <v>315649980</v>
      </c>
      <c r="I82" s="145"/>
    </row>
    <row r="83" spans="1:9" s="11" customFormat="1" ht="29.25" customHeight="1">
      <c r="A83" s="4" t="s">
        <v>247</v>
      </c>
      <c r="B83" s="3" t="s">
        <v>96</v>
      </c>
      <c r="C83" s="33">
        <v>3</v>
      </c>
      <c r="D83" s="56" t="s">
        <v>237</v>
      </c>
      <c r="E83" s="15">
        <v>10</v>
      </c>
      <c r="F83" s="47" t="s">
        <v>61</v>
      </c>
      <c r="G83" s="34">
        <f t="shared" si="3"/>
        <v>2200000</v>
      </c>
      <c r="H83" s="25">
        <v>22000000</v>
      </c>
      <c r="I83" s="15">
        <v>2</v>
      </c>
    </row>
    <row r="84" spans="1:9" s="11" customFormat="1" ht="18.75" customHeight="1">
      <c r="A84" s="4" t="s">
        <v>247</v>
      </c>
      <c r="B84" s="3" t="s">
        <v>94</v>
      </c>
      <c r="C84" s="33">
        <v>3</v>
      </c>
      <c r="D84" s="56" t="s">
        <v>237</v>
      </c>
      <c r="E84" s="15">
        <v>1</v>
      </c>
      <c r="F84" s="31" t="s">
        <v>49</v>
      </c>
      <c r="G84" s="34">
        <f t="shared" si="3"/>
        <v>60000000</v>
      </c>
      <c r="H84" s="25">
        <v>60000000</v>
      </c>
      <c r="I84" s="15">
        <v>3</v>
      </c>
    </row>
    <row r="85" spans="1:9" s="11" customFormat="1" ht="17.25" customHeight="1">
      <c r="A85" s="4" t="s">
        <v>247</v>
      </c>
      <c r="B85" s="3" t="s">
        <v>173</v>
      </c>
      <c r="C85" s="33">
        <v>3</v>
      </c>
      <c r="D85" s="56" t="s">
        <v>237</v>
      </c>
      <c r="E85" s="15">
        <v>1</v>
      </c>
      <c r="F85" s="31" t="s">
        <v>49</v>
      </c>
      <c r="G85" s="34">
        <f t="shared" si="3"/>
        <v>70000000</v>
      </c>
      <c r="H85" s="25">
        <v>70000000</v>
      </c>
      <c r="I85" s="15">
        <v>3</v>
      </c>
    </row>
    <row r="86" spans="1:9" s="11" customFormat="1" ht="25.5" customHeight="1">
      <c r="A86" s="4" t="s">
        <v>247</v>
      </c>
      <c r="B86" s="3" t="s">
        <v>174</v>
      </c>
      <c r="C86" s="33">
        <v>3</v>
      </c>
      <c r="D86" s="56" t="s">
        <v>237</v>
      </c>
      <c r="E86" s="15">
        <v>1</v>
      </c>
      <c r="F86" s="31" t="s">
        <v>49</v>
      </c>
      <c r="G86" s="34">
        <f t="shared" si="3"/>
        <v>45000000</v>
      </c>
      <c r="H86" s="25">
        <v>45000000</v>
      </c>
      <c r="I86" s="15">
        <v>3</v>
      </c>
    </row>
    <row r="87" spans="1:9" s="11" customFormat="1" ht="36.75" customHeight="1">
      <c r="A87" s="4" t="s">
        <v>247</v>
      </c>
      <c r="B87" s="32" t="s">
        <v>97</v>
      </c>
      <c r="C87" s="33">
        <v>3</v>
      </c>
      <c r="D87" s="56" t="s">
        <v>237</v>
      </c>
      <c r="E87" s="15">
        <v>12</v>
      </c>
      <c r="F87" s="47" t="s">
        <v>61</v>
      </c>
      <c r="G87" s="34">
        <f t="shared" si="3"/>
        <v>9887498.333333334</v>
      </c>
      <c r="H87" s="25">
        <f>218400000+1349980-101100000</f>
        <v>118649980</v>
      </c>
      <c r="I87" s="15">
        <v>8</v>
      </c>
    </row>
    <row r="88" spans="1:9" s="136" customFormat="1" ht="25.5">
      <c r="A88" s="156"/>
      <c r="B88" s="169" t="s">
        <v>28</v>
      </c>
      <c r="C88" s="145"/>
      <c r="D88" s="170"/>
      <c r="E88" s="140"/>
      <c r="F88" s="141"/>
      <c r="G88" s="142"/>
      <c r="H88" s="149">
        <f>SUM(H89:H90)</f>
        <v>216825055</v>
      </c>
      <c r="I88" s="145"/>
    </row>
    <row r="89" spans="1:9" s="11" customFormat="1" ht="25.5">
      <c r="A89" s="4" t="s">
        <v>252</v>
      </c>
      <c r="B89" s="35" t="s">
        <v>135</v>
      </c>
      <c r="C89" s="18">
        <v>6</v>
      </c>
      <c r="D89" s="53" t="s">
        <v>186</v>
      </c>
      <c r="E89" s="15">
        <v>1</v>
      </c>
      <c r="F89" s="31" t="s">
        <v>48</v>
      </c>
      <c r="G89" s="34">
        <f t="shared" si="3"/>
        <v>145000000</v>
      </c>
      <c r="H89" s="46">
        <f>180000000-35000000</f>
        <v>145000000</v>
      </c>
      <c r="I89" s="18">
        <v>7</v>
      </c>
    </row>
    <row r="90" spans="1:9" s="11" customFormat="1" ht="25.5">
      <c r="A90" s="4" t="s">
        <v>252</v>
      </c>
      <c r="B90" s="36" t="s">
        <v>136</v>
      </c>
      <c r="C90" s="14">
        <v>6</v>
      </c>
      <c r="D90" s="53" t="s">
        <v>186</v>
      </c>
      <c r="E90" s="44">
        <v>10</v>
      </c>
      <c r="F90" s="48" t="s">
        <v>61</v>
      </c>
      <c r="G90" s="34">
        <f t="shared" si="3"/>
        <v>7182505.5</v>
      </c>
      <c r="H90" s="45">
        <f>50000000+1950020+19875035</f>
        <v>71825055</v>
      </c>
      <c r="I90" s="14">
        <v>2</v>
      </c>
    </row>
    <row r="91" spans="1:9" s="136" customFormat="1" ht="12.75">
      <c r="A91" s="156"/>
      <c r="B91" s="169" t="s">
        <v>29</v>
      </c>
      <c r="C91" s="138"/>
      <c r="D91" s="139"/>
      <c r="E91" s="140"/>
      <c r="F91" s="141"/>
      <c r="G91" s="181"/>
      <c r="H91" s="149">
        <f>SUM(H92)</f>
        <v>795962868</v>
      </c>
      <c r="I91" s="138"/>
    </row>
    <row r="92" spans="1:9" s="11" customFormat="1" ht="12.75">
      <c r="A92" s="4"/>
      <c r="B92" s="36" t="s">
        <v>36</v>
      </c>
      <c r="C92" s="14">
        <v>3</v>
      </c>
      <c r="D92" s="53" t="s">
        <v>187</v>
      </c>
      <c r="E92" s="44">
        <v>12</v>
      </c>
      <c r="F92" s="48" t="s">
        <v>61</v>
      </c>
      <c r="G92" s="34">
        <f t="shared" si="3"/>
        <v>66330239</v>
      </c>
      <c r="H92" s="45">
        <v>795962868</v>
      </c>
      <c r="I92" s="14">
        <v>5</v>
      </c>
    </row>
    <row r="93" spans="1:9" s="136" customFormat="1" ht="12.75">
      <c r="A93" s="156"/>
      <c r="B93" s="169" t="s">
        <v>30</v>
      </c>
      <c r="C93" s="138"/>
      <c r="D93" s="139"/>
      <c r="E93" s="140"/>
      <c r="F93" s="141"/>
      <c r="G93" s="181"/>
      <c r="H93" s="149">
        <f>SUM(H94)</f>
        <v>1200000000</v>
      </c>
      <c r="I93" s="138"/>
    </row>
    <row r="94" spans="1:9" s="11" customFormat="1" ht="12.75">
      <c r="A94" s="4"/>
      <c r="B94" s="3" t="s">
        <v>77</v>
      </c>
      <c r="C94" s="14">
        <v>3</v>
      </c>
      <c r="D94" s="53" t="s">
        <v>188</v>
      </c>
      <c r="E94" s="17">
        <v>12</v>
      </c>
      <c r="F94" s="47" t="s">
        <v>61</v>
      </c>
      <c r="G94" s="34">
        <f t="shared" si="3"/>
        <v>100000000</v>
      </c>
      <c r="H94" s="25">
        <v>1200000000</v>
      </c>
      <c r="I94" s="14">
        <v>5</v>
      </c>
    </row>
    <row r="95" spans="1:9" s="136" customFormat="1" ht="17.25" customHeight="1">
      <c r="A95" s="156"/>
      <c r="B95" s="169" t="s">
        <v>205</v>
      </c>
      <c r="C95" s="145"/>
      <c r="D95" s="170"/>
      <c r="E95" s="140"/>
      <c r="F95" s="141"/>
      <c r="G95" s="182"/>
      <c r="H95" s="149">
        <f>SUM(H96:H97)</f>
        <v>280624965</v>
      </c>
      <c r="I95" s="145"/>
    </row>
    <row r="96" spans="1:9" s="11" customFormat="1" ht="27" customHeight="1">
      <c r="A96" s="4" t="s">
        <v>252</v>
      </c>
      <c r="B96" s="3" t="s">
        <v>209</v>
      </c>
      <c r="C96" s="14">
        <v>6</v>
      </c>
      <c r="D96" s="49" t="s">
        <v>189</v>
      </c>
      <c r="E96" s="17">
        <v>12</v>
      </c>
      <c r="F96" s="47" t="s">
        <v>61</v>
      </c>
      <c r="G96" s="34">
        <f t="shared" si="3"/>
        <v>15052080.416666666</v>
      </c>
      <c r="H96" s="25">
        <f>200500000+260400000-280275035</f>
        <v>180624965</v>
      </c>
      <c r="I96" s="14">
        <v>2</v>
      </c>
    </row>
    <row r="97" spans="1:9" s="11" customFormat="1" ht="38.25">
      <c r="A97" s="4" t="s">
        <v>248</v>
      </c>
      <c r="B97" s="3" t="s">
        <v>260</v>
      </c>
      <c r="C97" s="14">
        <v>6</v>
      </c>
      <c r="D97" s="49" t="s">
        <v>189</v>
      </c>
      <c r="E97" s="17">
        <v>12</v>
      </c>
      <c r="F97" s="47" t="s">
        <v>61</v>
      </c>
      <c r="G97" s="34">
        <f t="shared" si="3"/>
        <v>8333333.333333333</v>
      </c>
      <c r="H97" s="29">
        <v>100000000</v>
      </c>
      <c r="I97" s="14">
        <v>7</v>
      </c>
    </row>
    <row r="98" spans="1:9" s="136" customFormat="1" ht="12.75">
      <c r="A98" s="156"/>
      <c r="B98" s="169" t="s">
        <v>240</v>
      </c>
      <c r="C98" s="145"/>
      <c r="D98" s="170"/>
      <c r="E98" s="140"/>
      <c r="F98" s="141"/>
      <c r="G98" s="182"/>
      <c r="H98" s="149">
        <f>SUM(H99:H128)</f>
        <v>1378628250</v>
      </c>
      <c r="I98" s="145"/>
    </row>
    <row r="99" spans="1:9" s="11" customFormat="1" ht="12.75">
      <c r="A99" s="4" t="s">
        <v>247</v>
      </c>
      <c r="B99" s="32" t="s">
        <v>89</v>
      </c>
      <c r="C99" s="33">
        <v>3</v>
      </c>
      <c r="D99" s="54" t="s">
        <v>190</v>
      </c>
      <c r="E99" s="15">
        <v>1</v>
      </c>
      <c r="F99" s="31" t="s">
        <v>49</v>
      </c>
      <c r="G99" s="25">
        <v>31000000</v>
      </c>
      <c r="H99" s="25">
        <v>109628250</v>
      </c>
      <c r="I99" s="15">
        <v>2</v>
      </c>
    </row>
    <row r="100" spans="1:9" s="11" customFormat="1" ht="12.75">
      <c r="A100" s="4" t="s">
        <v>247</v>
      </c>
      <c r="B100" s="32" t="s">
        <v>90</v>
      </c>
      <c r="C100" s="33">
        <v>3</v>
      </c>
      <c r="D100" s="54" t="s">
        <v>190</v>
      </c>
      <c r="E100" s="15">
        <v>1</v>
      </c>
      <c r="F100" s="31" t="s">
        <v>49</v>
      </c>
      <c r="G100" s="25">
        <v>104000000</v>
      </c>
      <c r="H100" s="25">
        <f>G100*E100</f>
        <v>104000000</v>
      </c>
      <c r="I100" s="41">
        <v>2</v>
      </c>
    </row>
    <row r="101" spans="1:9" s="11" customFormat="1" ht="12.75">
      <c r="A101" s="4" t="s">
        <v>247</v>
      </c>
      <c r="B101" s="32" t="s">
        <v>91</v>
      </c>
      <c r="C101" s="33">
        <v>3</v>
      </c>
      <c r="D101" s="54" t="s">
        <v>190</v>
      </c>
      <c r="E101" s="15">
        <v>1</v>
      </c>
      <c r="F101" s="31" t="s">
        <v>49</v>
      </c>
      <c r="G101" s="25">
        <v>114700000</v>
      </c>
      <c r="H101" s="25">
        <f>G101*E101</f>
        <v>114700000</v>
      </c>
      <c r="I101" s="15">
        <v>2</v>
      </c>
    </row>
    <row r="102" spans="1:9" s="11" customFormat="1" ht="38.25">
      <c r="A102" s="4" t="s">
        <v>247</v>
      </c>
      <c r="B102" s="35" t="s">
        <v>76</v>
      </c>
      <c r="C102" s="33">
        <v>3</v>
      </c>
      <c r="D102" s="54" t="s">
        <v>190</v>
      </c>
      <c r="E102" s="15">
        <v>10</v>
      </c>
      <c r="F102" s="47" t="s">
        <v>61</v>
      </c>
      <c r="G102" s="25">
        <v>6400000</v>
      </c>
      <c r="H102" s="25">
        <f>G102*E102</f>
        <v>64000000</v>
      </c>
      <c r="I102" s="41">
        <v>2</v>
      </c>
    </row>
    <row r="103" spans="1:9" s="11" customFormat="1" ht="25.5">
      <c r="A103" s="4" t="s">
        <v>247</v>
      </c>
      <c r="B103" s="35" t="s">
        <v>92</v>
      </c>
      <c r="C103" s="33">
        <v>6</v>
      </c>
      <c r="D103" s="54" t="s">
        <v>190</v>
      </c>
      <c r="E103" s="15">
        <v>1</v>
      </c>
      <c r="F103" s="31" t="s">
        <v>49</v>
      </c>
      <c r="G103" s="25">
        <v>25000000</v>
      </c>
      <c r="H103" s="25">
        <f aca="true" t="shared" si="4" ref="H103:H128">G103*E103</f>
        <v>25000000</v>
      </c>
      <c r="I103" s="15">
        <v>3</v>
      </c>
    </row>
    <row r="104" spans="1:9" s="11" customFormat="1" ht="25.5">
      <c r="A104" s="4" t="s">
        <v>247</v>
      </c>
      <c r="B104" s="35" t="s">
        <v>93</v>
      </c>
      <c r="C104" s="33">
        <v>6</v>
      </c>
      <c r="D104" s="54" t="s">
        <v>190</v>
      </c>
      <c r="E104" s="15">
        <v>1</v>
      </c>
      <c r="F104" s="31" t="s">
        <v>49</v>
      </c>
      <c r="G104" s="25">
        <v>30000000</v>
      </c>
      <c r="H104" s="25">
        <f t="shared" si="4"/>
        <v>30000000</v>
      </c>
      <c r="I104" s="15">
        <v>3</v>
      </c>
    </row>
    <row r="105" spans="1:9" s="11" customFormat="1" ht="25.5">
      <c r="A105" s="4" t="s">
        <v>247</v>
      </c>
      <c r="B105" s="35" t="s">
        <v>175</v>
      </c>
      <c r="C105" s="33">
        <v>6</v>
      </c>
      <c r="D105" s="54" t="s">
        <v>190</v>
      </c>
      <c r="E105" s="15">
        <v>1</v>
      </c>
      <c r="F105" s="31" t="s">
        <v>49</v>
      </c>
      <c r="G105" s="25">
        <v>34000000</v>
      </c>
      <c r="H105" s="25">
        <f t="shared" si="4"/>
        <v>34000000</v>
      </c>
      <c r="I105" s="15">
        <v>4</v>
      </c>
    </row>
    <row r="106" spans="1:9" s="11" customFormat="1" ht="76.5">
      <c r="A106" s="4" t="s">
        <v>247</v>
      </c>
      <c r="B106" s="35" t="s">
        <v>95</v>
      </c>
      <c r="C106" s="33">
        <v>3</v>
      </c>
      <c r="D106" s="54" t="s">
        <v>190</v>
      </c>
      <c r="E106" s="15">
        <v>10</v>
      </c>
      <c r="F106" s="47" t="s">
        <v>61</v>
      </c>
      <c r="G106" s="25">
        <v>4500000</v>
      </c>
      <c r="H106" s="25">
        <f t="shared" si="4"/>
        <v>45000000</v>
      </c>
      <c r="I106" s="41">
        <v>2</v>
      </c>
    </row>
    <row r="107" spans="1:9" s="11" customFormat="1" ht="38.25">
      <c r="A107" s="4" t="s">
        <v>247</v>
      </c>
      <c r="B107" s="35" t="s">
        <v>75</v>
      </c>
      <c r="C107" s="33">
        <v>6</v>
      </c>
      <c r="D107" s="54" t="s">
        <v>190</v>
      </c>
      <c r="E107" s="15">
        <v>10</v>
      </c>
      <c r="F107" s="47" t="s">
        <v>61</v>
      </c>
      <c r="G107" s="25">
        <v>6500000</v>
      </c>
      <c r="H107" s="25">
        <f t="shared" si="4"/>
        <v>65000000</v>
      </c>
      <c r="I107" s="15">
        <v>2</v>
      </c>
    </row>
    <row r="108" spans="1:9" s="11" customFormat="1" ht="38.25">
      <c r="A108" s="4" t="s">
        <v>247</v>
      </c>
      <c r="B108" s="35" t="s">
        <v>119</v>
      </c>
      <c r="C108" s="33">
        <v>3</v>
      </c>
      <c r="D108" s="54" t="s">
        <v>190</v>
      </c>
      <c r="E108" s="15">
        <v>10</v>
      </c>
      <c r="F108" s="47" t="s">
        <v>61</v>
      </c>
      <c r="G108" s="25">
        <v>4930000</v>
      </c>
      <c r="H108" s="25">
        <f t="shared" si="4"/>
        <v>49300000</v>
      </c>
      <c r="I108" s="15">
        <v>2</v>
      </c>
    </row>
    <row r="109" spans="1:9" s="11" customFormat="1" ht="25.5">
      <c r="A109" s="4" t="s">
        <v>247</v>
      </c>
      <c r="B109" s="42" t="s">
        <v>120</v>
      </c>
      <c r="C109" s="33">
        <v>3</v>
      </c>
      <c r="D109" s="54" t="s">
        <v>190</v>
      </c>
      <c r="E109" s="15">
        <v>11</v>
      </c>
      <c r="F109" s="47" t="s">
        <v>61</v>
      </c>
      <c r="G109" s="25">
        <v>4500000</v>
      </c>
      <c r="H109" s="25">
        <f t="shared" si="4"/>
        <v>49500000</v>
      </c>
      <c r="I109" s="41">
        <v>2</v>
      </c>
    </row>
    <row r="110" spans="1:9" s="11" customFormat="1" ht="25.5">
      <c r="A110" s="4" t="s">
        <v>247</v>
      </c>
      <c r="B110" s="42" t="s">
        <v>176</v>
      </c>
      <c r="C110" s="33">
        <v>3</v>
      </c>
      <c r="D110" s="54" t="s">
        <v>190</v>
      </c>
      <c r="E110" s="15">
        <v>10</v>
      </c>
      <c r="F110" s="47" t="s">
        <v>61</v>
      </c>
      <c r="G110" s="25">
        <v>3500000</v>
      </c>
      <c r="H110" s="25">
        <f t="shared" si="4"/>
        <v>35000000</v>
      </c>
      <c r="I110" s="41">
        <v>2</v>
      </c>
    </row>
    <row r="111" spans="1:9" s="11" customFormat="1" ht="25.5">
      <c r="A111" s="4" t="s">
        <v>247</v>
      </c>
      <c r="B111" s="42" t="s">
        <v>177</v>
      </c>
      <c r="C111" s="33">
        <v>3</v>
      </c>
      <c r="D111" s="54" t="s">
        <v>190</v>
      </c>
      <c r="E111" s="15">
        <v>6</v>
      </c>
      <c r="F111" s="47" t="s">
        <v>61</v>
      </c>
      <c r="G111" s="25">
        <v>4000000</v>
      </c>
      <c r="H111" s="25">
        <f t="shared" si="4"/>
        <v>24000000</v>
      </c>
      <c r="I111" s="41">
        <v>2</v>
      </c>
    </row>
    <row r="112" spans="1:9" s="11" customFormat="1" ht="25.5">
      <c r="A112" s="4" t="s">
        <v>247</v>
      </c>
      <c r="B112" s="42" t="s">
        <v>121</v>
      </c>
      <c r="C112" s="33">
        <v>3</v>
      </c>
      <c r="D112" s="54" t="s">
        <v>190</v>
      </c>
      <c r="E112" s="15">
        <v>8</v>
      </c>
      <c r="F112" s="47" t="s">
        <v>61</v>
      </c>
      <c r="G112" s="25">
        <v>5000000</v>
      </c>
      <c r="H112" s="25">
        <f t="shared" si="4"/>
        <v>40000000</v>
      </c>
      <c r="I112" s="15">
        <v>2</v>
      </c>
    </row>
    <row r="113" spans="1:9" s="11" customFormat="1" ht="38.25">
      <c r="A113" s="4" t="s">
        <v>247</v>
      </c>
      <c r="B113" s="35" t="s">
        <v>122</v>
      </c>
      <c r="C113" s="33">
        <v>3</v>
      </c>
      <c r="D113" s="54" t="s">
        <v>190</v>
      </c>
      <c r="E113" s="15">
        <v>7</v>
      </c>
      <c r="F113" s="47" t="s">
        <v>61</v>
      </c>
      <c r="G113" s="25">
        <v>10000000</v>
      </c>
      <c r="H113" s="25">
        <f t="shared" si="4"/>
        <v>70000000</v>
      </c>
      <c r="I113" s="15">
        <v>2</v>
      </c>
    </row>
    <row r="114" spans="1:9" s="11" customFormat="1" ht="38.25">
      <c r="A114" s="4" t="s">
        <v>247</v>
      </c>
      <c r="B114" s="35" t="s">
        <v>124</v>
      </c>
      <c r="C114" s="33">
        <v>3</v>
      </c>
      <c r="D114" s="54" t="s">
        <v>190</v>
      </c>
      <c r="E114" s="15">
        <v>11</v>
      </c>
      <c r="F114" s="47" t="s">
        <v>61</v>
      </c>
      <c r="G114" s="25">
        <v>5700000</v>
      </c>
      <c r="H114" s="25">
        <f t="shared" si="4"/>
        <v>62700000</v>
      </c>
      <c r="I114" s="15">
        <v>2</v>
      </c>
    </row>
    <row r="115" spans="1:9" s="11" customFormat="1" ht="91.5" customHeight="1">
      <c r="A115" s="4" t="s">
        <v>247</v>
      </c>
      <c r="B115" s="35" t="s">
        <v>85</v>
      </c>
      <c r="C115" s="14">
        <v>3</v>
      </c>
      <c r="D115" s="54" t="s">
        <v>190</v>
      </c>
      <c r="E115" s="15">
        <v>10</v>
      </c>
      <c r="F115" s="47" t="s">
        <v>61</v>
      </c>
      <c r="G115" s="25">
        <v>5660000</v>
      </c>
      <c r="H115" s="25">
        <f t="shared" si="4"/>
        <v>56600000</v>
      </c>
      <c r="I115" s="14">
        <v>2</v>
      </c>
    </row>
    <row r="116" spans="1:9" s="11" customFormat="1" ht="89.25">
      <c r="A116" s="4" t="s">
        <v>247</v>
      </c>
      <c r="B116" s="35" t="s">
        <v>125</v>
      </c>
      <c r="C116" s="14">
        <v>3</v>
      </c>
      <c r="D116" s="54" t="s">
        <v>190</v>
      </c>
      <c r="E116" s="15">
        <v>10</v>
      </c>
      <c r="F116" s="47" t="s">
        <v>61</v>
      </c>
      <c r="G116" s="25">
        <v>5660000</v>
      </c>
      <c r="H116" s="25">
        <f t="shared" si="4"/>
        <v>56600000</v>
      </c>
      <c r="I116" s="14">
        <v>2</v>
      </c>
    </row>
    <row r="117" spans="1:9" s="11" customFormat="1" ht="76.5">
      <c r="A117" s="4" t="s">
        <v>247</v>
      </c>
      <c r="B117" s="35" t="s">
        <v>117</v>
      </c>
      <c r="C117" s="14">
        <v>3</v>
      </c>
      <c r="D117" s="54" t="s">
        <v>190</v>
      </c>
      <c r="E117" s="15">
        <v>10</v>
      </c>
      <c r="F117" s="47" t="s">
        <v>61</v>
      </c>
      <c r="G117" s="25">
        <v>2500000</v>
      </c>
      <c r="H117" s="25">
        <f t="shared" si="4"/>
        <v>25000000</v>
      </c>
      <c r="I117" s="14">
        <v>2</v>
      </c>
    </row>
    <row r="118" spans="1:9" s="11" customFormat="1" ht="102">
      <c r="A118" s="4" t="s">
        <v>247</v>
      </c>
      <c r="B118" s="35" t="s">
        <v>126</v>
      </c>
      <c r="C118" s="14">
        <v>3</v>
      </c>
      <c r="D118" s="54" t="s">
        <v>190</v>
      </c>
      <c r="E118" s="15">
        <v>10</v>
      </c>
      <c r="F118" s="47" t="s">
        <v>61</v>
      </c>
      <c r="G118" s="25">
        <v>7400000</v>
      </c>
      <c r="H118" s="25">
        <f t="shared" si="4"/>
        <v>74000000</v>
      </c>
      <c r="I118" s="14">
        <v>2</v>
      </c>
    </row>
    <row r="119" spans="1:9" s="11" customFormat="1" ht="63.75">
      <c r="A119" s="4" t="s">
        <v>247</v>
      </c>
      <c r="B119" s="35" t="s">
        <v>127</v>
      </c>
      <c r="C119" s="14">
        <v>3</v>
      </c>
      <c r="D119" s="54" t="s">
        <v>190</v>
      </c>
      <c r="E119" s="15">
        <v>10</v>
      </c>
      <c r="F119" s="47" t="s">
        <v>61</v>
      </c>
      <c r="G119" s="25">
        <v>1900000</v>
      </c>
      <c r="H119" s="25">
        <f t="shared" si="4"/>
        <v>19000000</v>
      </c>
      <c r="I119" s="14">
        <v>2</v>
      </c>
    </row>
    <row r="120" spans="1:9" s="11" customFormat="1" ht="38.25">
      <c r="A120" s="4" t="s">
        <v>247</v>
      </c>
      <c r="B120" s="35" t="s">
        <v>86</v>
      </c>
      <c r="C120" s="14">
        <v>3</v>
      </c>
      <c r="D120" s="54" t="s">
        <v>190</v>
      </c>
      <c r="E120" s="15">
        <v>10</v>
      </c>
      <c r="F120" s="47" t="s">
        <v>61</v>
      </c>
      <c r="G120" s="25">
        <v>1900000</v>
      </c>
      <c r="H120" s="25">
        <f t="shared" si="4"/>
        <v>19000000</v>
      </c>
      <c r="I120" s="14">
        <v>2</v>
      </c>
    </row>
    <row r="121" spans="1:9" s="10" customFormat="1" ht="21.75" customHeight="1">
      <c r="A121" s="4" t="s">
        <v>247</v>
      </c>
      <c r="B121" s="35" t="s">
        <v>87</v>
      </c>
      <c r="C121" s="43">
        <v>3</v>
      </c>
      <c r="D121" s="54" t="s">
        <v>190</v>
      </c>
      <c r="E121" s="22">
        <v>1</v>
      </c>
      <c r="F121" s="48" t="s">
        <v>49</v>
      </c>
      <c r="G121" s="25">
        <v>6400000</v>
      </c>
      <c r="H121" s="25">
        <f t="shared" si="4"/>
        <v>6400000</v>
      </c>
      <c r="I121" s="15">
        <v>3</v>
      </c>
    </row>
    <row r="122" spans="1:9" s="10" customFormat="1" ht="24.75" customHeight="1">
      <c r="A122" s="4" t="s">
        <v>247</v>
      </c>
      <c r="B122" s="35" t="s">
        <v>88</v>
      </c>
      <c r="C122" s="43">
        <v>3</v>
      </c>
      <c r="D122" s="54" t="s">
        <v>190</v>
      </c>
      <c r="E122" s="22">
        <v>1</v>
      </c>
      <c r="F122" s="48" t="s">
        <v>49</v>
      </c>
      <c r="G122" s="25">
        <v>2400000</v>
      </c>
      <c r="H122" s="25">
        <f t="shared" si="4"/>
        <v>2400000</v>
      </c>
      <c r="I122" s="15">
        <v>3</v>
      </c>
    </row>
    <row r="123" spans="1:9" s="10" customFormat="1" ht="33" customHeight="1">
      <c r="A123" s="4" t="s">
        <v>247</v>
      </c>
      <c r="B123" s="42" t="s">
        <v>128</v>
      </c>
      <c r="C123" s="43">
        <v>3</v>
      </c>
      <c r="D123" s="54" t="s">
        <v>190</v>
      </c>
      <c r="E123" s="15">
        <v>8</v>
      </c>
      <c r="F123" s="47" t="s">
        <v>61</v>
      </c>
      <c r="G123" s="25">
        <v>4500000</v>
      </c>
      <c r="H123" s="25">
        <f t="shared" si="4"/>
        <v>36000000</v>
      </c>
      <c r="I123" s="15">
        <v>3</v>
      </c>
    </row>
    <row r="124" spans="1:9" s="10" customFormat="1" ht="32.25" customHeight="1">
      <c r="A124" s="4" t="s">
        <v>247</v>
      </c>
      <c r="B124" s="35" t="s">
        <v>123</v>
      </c>
      <c r="C124" s="43">
        <v>3</v>
      </c>
      <c r="D124" s="54" t="s">
        <v>190</v>
      </c>
      <c r="E124" s="15">
        <v>8</v>
      </c>
      <c r="F124" s="47" t="s">
        <v>61</v>
      </c>
      <c r="G124" s="25">
        <v>2900000</v>
      </c>
      <c r="H124" s="25">
        <f t="shared" si="4"/>
        <v>23200000</v>
      </c>
      <c r="I124" s="15">
        <v>3</v>
      </c>
    </row>
    <row r="125" spans="1:9" s="10" customFormat="1" ht="38.25">
      <c r="A125" s="4" t="s">
        <v>247</v>
      </c>
      <c r="B125" s="35" t="s">
        <v>129</v>
      </c>
      <c r="C125" s="43">
        <v>3</v>
      </c>
      <c r="D125" s="54" t="s">
        <v>190</v>
      </c>
      <c r="E125" s="15">
        <v>1</v>
      </c>
      <c r="F125" s="31" t="s">
        <v>49</v>
      </c>
      <c r="G125" s="25">
        <v>50000000</v>
      </c>
      <c r="H125" s="25">
        <f t="shared" si="4"/>
        <v>50000000</v>
      </c>
      <c r="I125" s="15">
        <v>5</v>
      </c>
    </row>
    <row r="126" spans="1:9" s="10" customFormat="1" ht="25.5">
      <c r="A126" s="4" t="s">
        <v>247</v>
      </c>
      <c r="B126" s="42" t="s">
        <v>130</v>
      </c>
      <c r="C126" s="43">
        <v>3</v>
      </c>
      <c r="D126" s="54" t="s">
        <v>190</v>
      </c>
      <c r="E126" s="15">
        <v>1</v>
      </c>
      <c r="F126" s="31" t="s">
        <v>49</v>
      </c>
      <c r="G126" s="25">
        <v>2300000</v>
      </c>
      <c r="H126" s="25">
        <f t="shared" si="4"/>
        <v>2300000</v>
      </c>
      <c r="I126" s="15">
        <v>5</v>
      </c>
    </row>
    <row r="127" spans="1:9" s="10" customFormat="1" ht="35.25" customHeight="1">
      <c r="A127" s="4" t="s">
        <v>247</v>
      </c>
      <c r="B127" s="42" t="s">
        <v>131</v>
      </c>
      <c r="C127" s="43">
        <v>3</v>
      </c>
      <c r="D127" s="54" t="s">
        <v>191</v>
      </c>
      <c r="E127" s="15">
        <v>2</v>
      </c>
      <c r="F127" s="31" t="s">
        <v>49</v>
      </c>
      <c r="G127" s="25">
        <v>2300000</v>
      </c>
      <c r="H127" s="25">
        <f t="shared" si="4"/>
        <v>4600000</v>
      </c>
      <c r="I127" s="15">
        <v>5</v>
      </c>
    </row>
    <row r="128" spans="1:9" s="10" customFormat="1" ht="25.5">
      <c r="A128" s="4" t="s">
        <v>247</v>
      </c>
      <c r="B128" s="32" t="s">
        <v>132</v>
      </c>
      <c r="C128" s="33">
        <v>6</v>
      </c>
      <c r="D128" s="54" t="s">
        <v>190</v>
      </c>
      <c r="E128" s="15">
        <v>1</v>
      </c>
      <c r="F128" s="31" t="s">
        <v>70</v>
      </c>
      <c r="G128" s="25">
        <v>81700000</v>
      </c>
      <c r="H128" s="25">
        <f t="shared" si="4"/>
        <v>81700000</v>
      </c>
      <c r="I128" s="15">
        <v>4</v>
      </c>
    </row>
    <row r="129" spans="1:9" s="191" customFormat="1" ht="12.75">
      <c r="A129" s="183"/>
      <c r="B129" s="184" t="s">
        <v>62</v>
      </c>
      <c r="C129" s="185"/>
      <c r="D129" s="186"/>
      <c r="E129" s="187"/>
      <c r="F129" s="188"/>
      <c r="G129" s="189"/>
      <c r="H129" s="190">
        <f>H130+H132+H135+H141+H143</f>
        <v>1349900000</v>
      </c>
      <c r="I129" s="185"/>
    </row>
    <row r="130" spans="1:9" s="196" customFormat="1" ht="12.75">
      <c r="A130" s="137"/>
      <c r="B130" s="169" t="s">
        <v>31</v>
      </c>
      <c r="C130" s="151"/>
      <c r="D130" s="192"/>
      <c r="E130" s="193"/>
      <c r="F130" s="194"/>
      <c r="G130" s="195"/>
      <c r="H130" s="149">
        <f>SUM(H131)</f>
        <v>110000000</v>
      </c>
      <c r="I130" s="151"/>
    </row>
    <row r="131" spans="1:9" s="10" customFormat="1" ht="17.25" customHeight="1">
      <c r="A131" s="3" t="s">
        <v>264</v>
      </c>
      <c r="B131" s="3" t="s">
        <v>137</v>
      </c>
      <c r="C131" s="18">
        <v>3</v>
      </c>
      <c r="D131" s="54" t="s">
        <v>191</v>
      </c>
      <c r="E131" s="17">
        <v>12</v>
      </c>
      <c r="F131" s="59" t="s">
        <v>61</v>
      </c>
      <c r="G131" s="34">
        <f aca="true" t="shared" si="5" ref="G131:G152">H131/E131</f>
        <v>9166666.666666666</v>
      </c>
      <c r="H131" s="25">
        <v>110000000</v>
      </c>
      <c r="I131" s="18">
        <v>6</v>
      </c>
    </row>
    <row r="132" spans="1:9" s="196" customFormat="1" ht="12.75">
      <c r="A132" s="137"/>
      <c r="B132" s="169" t="s">
        <v>53</v>
      </c>
      <c r="C132" s="151"/>
      <c r="D132" s="197"/>
      <c r="E132" s="193"/>
      <c r="F132" s="194"/>
      <c r="G132" s="198"/>
      <c r="H132" s="149">
        <f>SUM(H133:H134)</f>
        <v>89000000</v>
      </c>
      <c r="I132" s="151"/>
    </row>
    <row r="133" spans="1:9" s="10" customFormat="1" ht="12.75">
      <c r="A133" s="3" t="s">
        <v>263</v>
      </c>
      <c r="B133" s="72" t="s">
        <v>118</v>
      </c>
      <c r="C133" s="18">
        <v>3</v>
      </c>
      <c r="D133" s="54" t="s">
        <v>192</v>
      </c>
      <c r="E133" s="17">
        <v>10</v>
      </c>
      <c r="F133" s="59" t="s">
        <v>61</v>
      </c>
      <c r="G133" s="34">
        <f t="shared" si="5"/>
        <v>6900000</v>
      </c>
      <c r="H133" s="25">
        <f>330000000-261000000</f>
        <v>69000000</v>
      </c>
      <c r="I133" s="18"/>
    </row>
    <row r="134" spans="1:9" s="10" customFormat="1" ht="27.75" customHeight="1">
      <c r="A134" s="3" t="s">
        <v>252</v>
      </c>
      <c r="B134" s="3" t="s">
        <v>236</v>
      </c>
      <c r="C134" s="18">
        <v>3</v>
      </c>
      <c r="D134" s="54" t="s">
        <v>192</v>
      </c>
      <c r="E134" s="17">
        <v>12</v>
      </c>
      <c r="F134" s="59" t="s">
        <v>61</v>
      </c>
      <c r="G134" s="34">
        <f t="shared" si="5"/>
        <v>1666666.6666666667</v>
      </c>
      <c r="H134" s="25">
        <v>20000000</v>
      </c>
      <c r="I134" s="18">
        <v>8</v>
      </c>
    </row>
    <row r="135" spans="1:9" s="196" customFormat="1" ht="25.5">
      <c r="A135" s="137"/>
      <c r="B135" s="169" t="s">
        <v>32</v>
      </c>
      <c r="C135" s="150"/>
      <c r="D135" s="199"/>
      <c r="E135" s="193"/>
      <c r="F135" s="194"/>
      <c r="G135" s="200"/>
      <c r="H135" s="149">
        <f>SUM(H136:H140)</f>
        <v>250500000</v>
      </c>
      <c r="I135" s="151"/>
    </row>
    <row r="136" spans="1:9" s="11" customFormat="1" ht="25.5" customHeight="1">
      <c r="A136" s="4" t="s">
        <v>247</v>
      </c>
      <c r="B136" s="32" t="s">
        <v>265</v>
      </c>
      <c r="C136" s="33">
        <v>3</v>
      </c>
      <c r="D136" s="56" t="s">
        <v>237</v>
      </c>
      <c r="E136" s="15">
        <v>12</v>
      </c>
      <c r="F136" s="59" t="s">
        <v>61</v>
      </c>
      <c r="G136" s="34">
        <f t="shared" si="5"/>
        <v>5000000</v>
      </c>
      <c r="H136" s="25">
        <v>60000000</v>
      </c>
      <c r="I136" s="15">
        <v>1</v>
      </c>
    </row>
    <row r="137" spans="1:9" s="11" customFormat="1" ht="25.5" customHeight="1">
      <c r="A137" s="4" t="s">
        <v>247</v>
      </c>
      <c r="B137" s="32" t="s">
        <v>266</v>
      </c>
      <c r="C137" s="33">
        <v>6</v>
      </c>
      <c r="D137" s="56" t="s">
        <v>237</v>
      </c>
      <c r="E137" s="15">
        <v>9</v>
      </c>
      <c r="F137" s="59" t="s">
        <v>61</v>
      </c>
      <c r="G137" s="34">
        <f t="shared" si="5"/>
        <v>6111111.111111111</v>
      </c>
      <c r="H137" s="25">
        <v>55000000</v>
      </c>
      <c r="I137" s="15">
        <v>3</v>
      </c>
    </row>
    <row r="138" spans="1:9" s="11" customFormat="1" ht="25.5" customHeight="1">
      <c r="A138" s="4" t="s">
        <v>247</v>
      </c>
      <c r="B138" s="32" t="s">
        <v>267</v>
      </c>
      <c r="C138" s="33">
        <v>7</v>
      </c>
      <c r="D138" s="56" t="s">
        <v>193</v>
      </c>
      <c r="E138" s="15">
        <v>1</v>
      </c>
      <c r="F138" s="31" t="s">
        <v>70</v>
      </c>
      <c r="G138" s="34">
        <f t="shared" si="5"/>
        <v>51500000</v>
      </c>
      <c r="H138" s="25">
        <v>51500000</v>
      </c>
      <c r="I138" s="15">
        <v>6</v>
      </c>
    </row>
    <row r="139" spans="1:9" s="11" customFormat="1" ht="25.5" customHeight="1">
      <c r="A139" s="4" t="s">
        <v>252</v>
      </c>
      <c r="B139" s="32" t="s">
        <v>164</v>
      </c>
      <c r="C139" s="33">
        <v>3</v>
      </c>
      <c r="D139" s="56" t="s">
        <v>193</v>
      </c>
      <c r="E139" s="15">
        <v>1</v>
      </c>
      <c r="F139" s="31" t="s">
        <v>49</v>
      </c>
      <c r="G139" s="34">
        <f t="shared" si="5"/>
        <v>8000000</v>
      </c>
      <c r="H139" s="25">
        <v>8000000</v>
      </c>
      <c r="I139" s="15">
        <v>2</v>
      </c>
    </row>
    <row r="140" spans="1:9" s="10" customFormat="1" ht="12.75">
      <c r="A140" s="3" t="s">
        <v>252</v>
      </c>
      <c r="B140" s="3" t="s">
        <v>268</v>
      </c>
      <c r="C140" s="18">
        <v>3</v>
      </c>
      <c r="D140" s="54" t="s">
        <v>193</v>
      </c>
      <c r="E140" s="17">
        <v>12</v>
      </c>
      <c r="F140" s="59" t="s">
        <v>61</v>
      </c>
      <c r="G140" s="34">
        <f t="shared" si="5"/>
        <v>6333333.333333333</v>
      </c>
      <c r="H140" s="25">
        <f>64000000+32000000-20000000</f>
        <v>76000000</v>
      </c>
      <c r="I140" s="18">
        <v>2</v>
      </c>
    </row>
    <row r="141" spans="1:9" s="205" customFormat="1" ht="12.75">
      <c r="A141" s="169"/>
      <c r="B141" s="169" t="s">
        <v>227</v>
      </c>
      <c r="C141" s="150"/>
      <c r="D141" s="201"/>
      <c r="E141" s="202"/>
      <c r="F141" s="203"/>
      <c r="G141" s="204"/>
      <c r="H141" s="149">
        <f>SUM(H142)</f>
        <v>870400000</v>
      </c>
      <c r="I141" s="150"/>
    </row>
    <row r="142" spans="1:9" s="10" customFormat="1" ht="25.5">
      <c r="A142" s="3" t="s">
        <v>252</v>
      </c>
      <c r="B142" s="3" t="s">
        <v>144</v>
      </c>
      <c r="C142" s="18">
        <v>3</v>
      </c>
      <c r="D142" s="54" t="s">
        <v>226</v>
      </c>
      <c r="E142" s="17">
        <v>10</v>
      </c>
      <c r="F142" s="60" t="s">
        <v>61</v>
      </c>
      <c r="G142" s="34">
        <f t="shared" si="5"/>
        <v>87040000</v>
      </c>
      <c r="H142" s="25">
        <v>870400000</v>
      </c>
      <c r="I142" s="18">
        <v>2</v>
      </c>
    </row>
    <row r="143" spans="1:9" s="196" customFormat="1" ht="25.5">
      <c r="A143" s="137"/>
      <c r="B143" s="169" t="s">
        <v>33</v>
      </c>
      <c r="C143" s="150"/>
      <c r="D143" s="199"/>
      <c r="E143" s="193"/>
      <c r="F143" s="194"/>
      <c r="G143" s="200"/>
      <c r="H143" s="149">
        <f>SUM(H144:H144)</f>
        <v>30000000</v>
      </c>
      <c r="I143" s="151"/>
    </row>
    <row r="144" spans="1:9" s="10" customFormat="1" ht="17.25" customHeight="1">
      <c r="A144" s="3" t="s">
        <v>249</v>
      </c>
      <c r="B144" s="3" t="s">
        <v>145</v>
      </c>
      <c r="C144" s="18">
        <v>3</v>
      </c>
      <c r="D144" s="54" t="s">
        <v>194</v>
      </c>
      <c r="E144" s="17">
        <v>12</v>
      </c>
      <c r="F144" s="59" t="s">
        <v>61</v>
      </c>
      <c r="G144" s="34">
        <f t="shared" si="5"/>
        <v>2500000</v>
      </c>
      <c r="H144" s="25">
        <v>30000000</v>
      </c>
      <c r="I144" s="18">
        <v>2</v>
      </c>
    </row>
    <row r="145" spans="1:9" s="212" customFormat="1" ht="12.75">
      <c r="A145" s="206"/>
      <c r="B145" s="172" t="s">
        <v>63</v>
      </c>
      <c r="C145" s="207"/>
      <c r="D145" s="208"/>
      <c r="E145" s="209"/>
      <c r="F145" s="210"/>
      <c r="G145" s="211"/>
      <c r="H145" s="176">
        <f>SUM(H146:H148)</f>
        <v>141000000</v>
      </c>
      <c r="I145" s="207"/>
    </row>
    <row r="146" spans="1:9" s="10" customFormat="1" ht="16.5" customHeight="1">
      <c r="A146" s="3" t="s">
        <v>269</v>
      </c>
      <c r="B146" s="3" t="s">
        <v>211</v>
      </c>
      <c r="C146" s="18">
        <v>3</v>
      </c>
      <c r="D146" s="57" t="s">
        <v>212</v>
      </c>
      <c r="E146" s="17">
        <v>10</v>
      </c>
      <c r="F146" s="59" t="s">
        <v>61</v>
      </c>
      <c r="G146" s="34">
        <f t="shared" si="5"/>
        <v>1000000</v>
      </c>
      <c r="H146" s="23">
        <v>10000000</v>
      </c>
      <c r="I146" s="18">
        <v>2</v>
      </c>
    </row>
    <row r="147" spans="1:9" s="10" customFormat="1" ht="24" customHeight="1">
      <c r="A147" s="3" t="s">
        <v>249</v>
      </c>
      <c r="B147" s="3" t="s">
        <v>152</v>
      </c>
      <c r="C147" s="18">
        <v>3</v>
      </c>
      <c r="D147" s="57" t="s">
        <v>195</v>
      </c>
      <c r="E147" s="17">
        <v>10</v>
      </c>
      <c r="F147" s="59" t="s">
        <v>61</v>
      </c>
      <c r="G147" s="34">
        <f t="shared" si="5"/>
        <v>600000</v>
      </c>
      <c r="H147" s="23">
        <v>6000000</v>
      </c>
      <c r="I147" s="18">
        <v>2</v>
      </c>
    </row>
    <row r="148" spans="1:9" s="196" customFormat="1" ht="15.75" customHeight="1">
      <c r="A148" s="137"/>
      <c r="B148" s="169" t="s">
        <v>149</v>
      </c>
      <c r="C148" s="150"/>
      <c r="D148" s="201"/>
      <c r="E148" s="193"/>
      <c r="F148" s="194"/>
      <c r="G148" s="204"/>
      <c r="H148" s="149">
        <f>SUM(H149:H152)</f>
        <v>125000000</v>
      </c>
      <c r="I148" s="150"/>
    </row>
    <row r="149" spans="1:9" s="20" customFormat="1" ht="12.75" customHeight="1">
      <c r="A149" s="3" t="s">
        <v>269</v>
      </c>
      <c r="B149" s="3" t="s">
        <v>153</v>
      </c>
      <c r="C149" s="18">
        <v>3</v>
      </c>
      <c r="D149" s="51" t="s">
        <v>196</v>
      </c>
      <c r="E149" s="17">
        <v>10</v>
      </c>
      <c r="F149" s="59" t="s">
        <v>61</v>
      </c>
      <c r="G149" s="34">
        <f t="shared" si="5"/>
        <v>2400000</v>
      </c>
      <c r="H149" s="25">
        <v>24000000</v>
      </c>
      <c r="I149" s="18">
        <v>2</v>
      </c>
    </row>
    <row r="150" spans="1:9" s="20" customFormat="1" ht="37.5" customHeight="1">
      <c r="A150" s="3" t="s">
        <v>264</v>
      </c>
      <c r="B150" s="3" t="s">
        <v>213</v>
      </c>
      <c r="C150" s="18">
        <v>3</v>
      </c>
      <c r="D150" s="51" t="s">
        <v>196</v>
      </c>
      <c r="E150" s="17">
        <v>10</v>
      </c>
      <c r="F150" s="59" t="s">
        <v>61</v>
      </c>
      <c r="G150" s="34">
        <f t="shared" si="5"/>
        <v>1540000</v>
      </c>
      <c r="H150" s="25">
        <v>15400000</v>
      </c>
      <c r="I150" s="18">
        <v>2</v>
      </c>
    </row>
    <row r="151" spans="1:9" s="20" customFormat="1" ht="20.25" customHeight="1">
      <c r="A151" s="3" t="s">
        <v>269</v>
      </c>
      <c r="B151" s="3" t="s">
        <v>163</v>
      </c>
      <c r="C151" s="18">
        <v>3</v>
      </c>
      <c r="D151" s="51" t="s">
        <v>196</v>
      </c>
      <c r="E151" s="17">
        <v>1</v>
      </c>
      <c r="F151" s="59" t="s">
        <v>61</v>
      </c>
      <c r="G151" s="34">
        <f t="shared" si="5"/>
        <v>6000000</v>
      </c>
      <c r="H151" s="25">
        <v>6000000</v>
      </c>
      <c r="I151" s="18">
        <v>4</v>
      </c>
    </row>
    <row r="152" spans="1:9" s="20" customFormat="1" ht="25.5" customHeight="1">
      <c r="A152" s="3" t="s">
        <v>269</v>
      </c>
      <c r="B152" s="3" t="s">
        <v>51</v>
      </c>
      <c r="C152" s="18">
        <v>3</v>
      </c>
      <c r="D152" s="51" t="s">
        <v>196</v>
      </c>
      <c r="E152" s="17">
        <v>10</v>
      </c>
      <c r="F152" s="59" t="s">
        <v>61</v>
      </c>
      <c r="G152" s="34">
        <f t="shared" si="5"/>
        <v>7960000</v>
      </c>
      <c r="H152" s="25">
        <v>79600000</v>
      </c>
      <c r="I152" s="18">
        <v>4</v>
      </c>
    </row>
    <row r="153" spans="1:9" s="178" customFormat="1" ht="12.75">
      <c r="A153" s="171"/>
      <c r="B153" s="172" t="s">
        <v>210</v>
      </c>
      <c r="C153" s="177"/>
      <c r="D153" s="174"/>
      <c r="E153" s="173"/>
      <c r="F153" s="175"/>
      <c r="G153" s="176"/>
      <c r="H153" s="176">
        <v>446558616</v>
      </c>
      <c r="I153" s="177"/>
    </row>
    <row r="154" spans="1:9" s="178" customFormat="1" ht="12.75">
      <c r="A154" s="171"/>
      <c r="B154" s="172" t="s">
        <v>64</v>
      </c>
      <c r="C154" s="177"/>
      <c r="D154" s="174"/>
      <c r="E154" s="213"/>
      <c r="F154" s="214"/>
      <c r="G154" s="215"/>
      <c r="H154" s="176">
        <f>H155</f>
        <v>100000000</v>
      </c>
      <c r="I154" s="216"/>
    </row>
    <row r="155" spans="1:9" s="11" customFormat="1" ht="12.75">
      <c r="A155" s="4" t="s">
        <v>249</v>
      </c>
      <c r="B155" s="3" t="s">
        <v>160</v>
      </c>
      <c r="C155" s="14">
        <v>7</v>
      </c>
      <c r="D155" s="56" t="s">
        <v>197</v>
      </c>
      <c r="E155" s="17">
        <v>12</v>
      </c>
      <c r="F155" s="47" t="s">
        <v>61</v>
      </c>
      <c r="G155" s="34">
        <f>H155/E155</f>
        <v>8333333.333333333</v>
      </c>
      <c r="H155" s="25">
        <v>100000000</v>
      </c>
      <c r="I155" s="14">
        <v>4</v>
      </c>
    </row>
    <row r="156" spans="1:9" s="178" customFormat="1" ht="15.75" customHeight="1">
      <c r="A156" s="171"/>
      <c r="B156" s="172" t="s">
        <v>65</v>
      </c>
      <c r="C156" s="177"/>
      <c r="D156" s="174"/>
      <c r="E156" s="213"/>
      <c r="F156" s="214"/>
      <c r="G156" s="215"/>
      <c r="H156" s="176">
        <f>H157+H166</f>
        <v>332089633</v>
      </c>
      <c r="I156" s="216"/>
    </row>
    <row r="157" spans="1:9" s="136" customFormat="1" ht="17.25" customHeight="1">
      <c r="A157" s="156"/>
      <c r="B157" s="169" t="s">
        <v>228</v>
      </c>
      <c r="C157" s="145"/>
      <c r="D157" s="170"/>
      <c r="E157" s="140"/>
      <c r="F157" s="141"/>
      <c r="G157" s="142"/>
      <c r="H157" s="149">
        <f>SUM(H158:H165)</f>
        <v>227290919</v>
      </c>
      <c r="I157" s="138"/>
    </row>
    <row r="158" spans="1:9" s="11" customFormat="1" ht="51">
      <c r="A158" s="4" t="s">
        <v>248</v>
      </c>
      <c r="B158" s="3" t="s">
        <v>154</v>
      </c>
      <c r="C158" s="14">
        <v>3</v>
      </c>
      <c r="D158" s="56" t="s">
        <v>198</v>
      </c>
      <c r="E158" s="17">
        <v>1</v>
      </c>
      <c r="F158" s="61" t="s">
        <v>49</v>
      </c>
      <c r="G158" s="34">
        <f aca="true" t="shared" si="6" ref="G158:G167">H158/E158</f>
        <v>2500000</v>
      </c>
      <c r="H158" s="25">
        <v>2500000</v>
      </c>
      <c r="I158" s="21">
        <v>1</v>
      </c>
    </row>
    <row r="159" spans="1:9" s="11" customFormat="1" ht="51">
      <c r="A159" s="4" t="s">
        <v>249</v>
      </c>
      <c r="B159" s="3" t="s">
        <v>155</v>
      </c>
      <c r="C159" s="14">
        <v>3</v>
      </c>
      <c r="D159" s="56" t="s">
        <v>198</v>
      </c>
      <c r="E159" s="17">
        <v>9</v>
      </c>
      <c r="F159" s="61" t="s">
        <v>61</v>
      </c>
      <c r="G159" s="34">
        <f t="shared" si="6"/>
        <v>15988666.666666666</v>
      </c>
      <c r="H159" s="25">
        <v>143898000</v>
      </c>
      <c r="I159" s="21">
        <v>7</v>
      </c>
    </row>
    <row r="160" spans="1:9" s="11" customFormat="1" ht="25.5">
      <c r="A160" s="4" t="s">
        <v>249</v>
      </c>
      <c r="B160" s="3" t="s">
        <v>165</v>
      </c>
      <c r="C160" s="14">
        <v>3</v>
      </c>
      <c r="D160" s="56" t="s">
        <v>198</v>
      </c>
      <c r="E160" s="17">
        <v>9</v>
      </c>
      <c r="F160" s="61" t="s">
        <v>61</v>
      </c>
      <c r="G160" s="34">
        <f t="shared" si="6"/>
        <v>3623888.888888889</v>
      </c>
      <c r="H160" s="25">
        <v>32615000</v>
      </c>
      <c r="I160" s="21">
        <v>7</v>
      </c>
    </row>
    <row r="161" spans="1:9" s="11" customFormat="1" ht="38.25">
      <c r="A161" s="4" t="s">
        <v>249</v>
      </c>
      <c r="B161" s="3" t="s">
        <v>101</v>
      </c>
      <c r="C161" s="14"/>
      <c r="D161" s="56"/>
      <c r="E161" s="17"/>
      <c r="F161" s="61"/>
      <c r="G161" s="34"/>
      <c r="H161" s="25">
        <v>8153000</v>
      </c>
      <c r="I161" s="21"/>
    </row>
    <row r="162" spans="1:9" s="11" customFormat="1" ht="38.25">
      <c r="A162" s="4" t="s">
        <v>249</v>
      </c>
      <c r="B162" s="3" t="s">
        <v>156</v>
      </c>
      <c r="C162" s="14">
        <v>3</v>
      </c>
      <c r="D162" s="56" t="s">
        <v>198</v>
      </c>
      <c r="E162" s="17">
        <v>9</v>
      </c>
      <c r="F162" s="61" t="s">
        <v>61</v>
      </c>
      <c r="G162" s="34">
        <f t="shared" si="6"/>
        <v>816666.6666666666</v>
      </c>
      <c r="H162" s="25">
        <v>7350000</v>
      </c>
      <c r="I162" s="21">
        <v>1</v>
      </c>
    </row>
    <row r="163" spans="1:9" s="11" customFormat="1" ht="38.25">
      <c r="A163" s="4" t="s">
        <v>249</v>
      </c>
      <c r="B163" s="3" t="s">
        <v>158</v>
      </c>
      <c r="C163" s="14">
        <v>3</v>
      </c>
      <c r="D163" s="56" t="s">
        <v>198</v>
      </c>
      <c r="E163" s="17">
        <v>9</v>
      </c>
      <c r="F163" s="61" t="s">
        <v>61</v>
      </c>
      <c r="G163" s="34">
        <f t="shared" si="6"/>
        <v>956111.1111111111</v>
      </c>
      <c r="H163" s="25">
        <v>8605000</v>
      </c>
      <c r="I163" s="21">
        <v>1</v>
      </c>
    </row>
    <row r="164" spans="1:9" s="11" customFormat="1" ht="38.25">
      <c r="A164" s="4" t="s">
        <v>249</v>
      </c>
      <c r="B164" s="3" t="s">
        <v>157</v>
      </c>
      <c r="C164" s="14">
        <v>3</v>
      </c>
      <c r="D164" s="56" t="s">
        <v>198</v>
      </c>
      <c r="E164" s="17">
        <v>9</v>
      </c>
      <c r="F164" s="61" t="s">
        <v>61</v>
      </c>
      <c r="G164" s="34">
        <f t="shared" si="6"/>
        <v>153333.33333333334</v>
      </c>
      <c r="H164" s="25">
        <v>1380000</v>
      </c>
      <c r="I164" s="21">
        <v>1</v>
      </c>
    </row>
    <row r="165" spans="1:9" s="11" customFormat="1" ht="50.25" customHeight="1">
      <c r="A165" s="4" t="s">
        <v>249</v>
      </c>
      <c r="B165" s="3" t="s">
        <v>52</v>
      </c>
      <c r="C165" s="14">
        <v>3</v>
      </c>
      <c r="D165" s="56" t="s">
        <v>198</v>
      </c>
      <c r="E165" s="17">
        <v>10</v>
      </c>
      <c r="F165" s="61" t="s">
        <v>61</v>
      </c>
      <c r="G165" s="34">
        <f t="shared" si="6"/>
        <v>2278991.9</v>
      </c>
      <c r="H165" s="25">
        <f>4499000+18290919</f>
        <v>22789919</v>
      </c>
      <c r="I165" s="21">
        <v>2</v>
      </c>
    </row>
    <row r="166" spans="1:9" s="136" customFormat="1" ht="17.25" customHeight="1">
      <c r="A166" s="156"/>
      <c r="B166" s="169" t="s">
        <v>181</v>
      </c>
      <c r="C166" s="145"/>
      <c r="D166" s="170"/>
      <c r="E166" s="140"/>
      <c r="F166" s="141"/>
      <c r="G166" s="142"/>
      <c r="H166" s="149">
        <f>SUM(H167:H167)</f>
        <v>104798714</v>
      </c>
      <c r="I166" s="138"/>
    </row>
    <row r="167" spans="1:9" s="11" customFormat="1" ht="25.5" customHeight="1">
      <c r="A167" s="4" t="s">
        <v>247</v>
      </c>
      <c r="B167" s="32" t="s">
        <v>261</v>
      </c>
      <c r="C167" s="33">
        <v>6</v>
      </c>
      <c r="D167" s="56" t="s">
        <v>199</v>
      </c>
      <c r="E167" s="15">
        <v>1</v>
      </c>
      <c r="F167" s="31" t="s">
        <v>49</v>
      </c>
      <c r="G167" s="34">
        <f t="shared" si="6"/>
        <v>104798714</v>
      </c>
      <c r="H167" s="25">
        <v>104798714</v>
      </c>
      <c r="I167" s="15">
        <v>8</v>
      </c>
    </row>
    <row r="168" spans="1:9" s="226" customFormat="1" ht="12.75">
      <c r="A168" s="218"/>
      <c r="B168" s="219" t="s">
        <v>66</v>
      </c>
      <c r="C168" s="220"/>
      <c r="D168" s="221"/>
      <c r="E168" s="222"/>
      <c r="F168" s="223"/>
      <c r="G168" s="224"/>
      <c r="H168" s="225">
        <f>H169+H171</f>
        <v>1462000000</v>
      </c>
      <c r="I168" s="220"/>
    </row>
    <row r="169" spans="1:9" s="136" customFormat="1" ht="26.25" customHeight="1">
      <c r="A169" s="156"/>
      <c r="B169" s="169" t="s">
        <v>208</v>
      </c>
      <c r="C169" s="138"/>
      <c r="D169" s="227"/>
      <c r="E169" s="161"/>
      <c r="F169" s="228"/>
      <c r="G169" s="149"/>
      <c r="H169" s="149">
        <f>H170</f>
        <v>70000000</v>
      </c>
      <c r="I169" s="138">
        <v>2</v>
      </c>
    </row>
    <row r="170" spans="1:9" s="11" customFormat="1" ht="13.5" customHeight="1">
      <c r="A170" s="4" t="s">
        <v>270</v>
      </c>
      <c r="B170" s="4" t="s">
        <v>73</v>
      </c>
      <c r="C170" s="14">
        <v>1</v>
      </c>
      <c r="D170" s="56" t="s">
        <v>200</v>
      </c>
      <c r="E170" s="16">
        <v>1</v>
      </c>
      <c r="F170" s="62" t="s">
        <v>49</v>
      </c>
      <c r="G170" s="34">
        <f>H170/E170</f>
        <v>70000000</v>
      </c>
      <c r="H170" s="25">
        <v>70000000</v>
      </c>
      <c r="I170" s="14"/>
    </row>
    <row r="171" spans="1:9" s="136" customFormat="1" ht="28.5" customHeight="1">
      <c r="A171" s="156"/>
      <c r="B171" s="169" t="s">
        <v>54</v>
      </c>
      <c r="C171" s="138"/>
      <c r="D171" s="227"/>
      <c r="E171" s="140"/>
      <c r="F171" s="141"/>
      <c r="G171" s="149"/>
      <c r="H171" s="149">
        <v>1392000000</v>
      </c>
      <c r="I171" s="138"/>
    </row>
    <row r="172" spans="1:9" s="226" customFormat="1" ht="24" customHeight="1">
      <c r="A172" s="218"/>
      <c r="B172" s="219" t="s">
        <v>67</v>
      </c>
      <c r="C172" s="220"/>
      <c r="D172" s="221"/>
      <c r="E172" s="222"/>
      <c r="F172" s="223"/>
      <c r="G172" s="224"/>
      <c r="H172" s="225">
        <f>SUM(H173)</f>
        <v>20000000</v>
      </c>
      <c r="I172" s="220"/>
    </row>
    <row r="173" spans="1:9" s="11" customFormat="1" ht="12.75">
      <c r="A173" s="4" t="s">
        <v>249</v>
      </c>
      <c r="B173" s="3" t="s">
        <v>229</v>
      </c>
      <c r="C173" s="14">
        <v>6</v>
      </c>
      <c r="D173" s="49" t="s">
        <v>201</v>
      </c>
      <c r="E173" s="17">
        <v>12</v>
      </c>
      <c r="F173" s="47" t="s">
        <v>61</v>
      </c>
      <c r="G173" s="25">
        <f>H173/E173</f>
        <v>1666666.6666666667</v>
      </c>
      <c r="H173" s="25">
        <v>20000000</v>
      </c>
      <c r="I173" s="18">
        <v>3</v>
      </c>
    </row>
    <row r="174" spans="1:9" s="226" customFormat="1" ht="25.5">
      <c r="A174" s="218"/>
      <c r="B174" s="219" t="s">
        <v>68</v>
      </c>
      <c r="C174" s="220"/>
      <c r="D174" s="221"/>
      <c r="E174" s="222"/>
      <c r="F174" s="223"/>
      <c r="G174" s="224"/>
      <c r="H174" s="225">
        <f>H175+H178+H196</f>
        <v>440000000</v>
      </c>
      <c r="I174" s="220"/>
    </row>
    <row r="175" spans="1:9" s="136" customFormat="1" ht="12.75">
      <c r="A175" s="156"/>
      <c r="B175" s="157" t="s">
        <v>214</v>
      </c>
      <c r="C175" s="138"/>
      <c r="D175" s="229"/>
      <c r="E175" s="140"/>
      <c r="F175" s="148"/>
      <c r="G175" s="179"/>
      <c r="H175" s="149">
        <f>SUM(H176:H177)</f>
        <v>206918000</v>
      </c>
      <c r="I175" s="138"/>
    </row>
    <row r="176" spans="1:9" s="11" customFormat="1" ht="25.5">
      <c r="A176" s="4" t="s">
        <v>256</v>
      </c>
      <c r="B176" s="3" t="s">
        <v>235</v>
      </c>
      <c r="C176" s="14">
        <v>3</v>
      </c>
      <c r="D176" s="49" t="s">
        <v>202</v>
      </c>
      <c r="E176" s="13">
        <v>1</v>
      </c>
      <c r="F176" s="63" t="s">
        <v>61</v>
      </c>
      <c r="G176" s="25">
        <f aca="true" t="shared" si="7" ref="G176:G195">H176/E176</f>
        <v>181918000</v>
      </c>
      <c r="H176" s="25">
        <f>225000000-43082000</f>
        <v>181918000</v>
      </c>
      <c r="I176" s="14">
        <v>1</v>
      </c>
    </row>
    <row r="177" spans="1:9" s="3" customFormat="1" ht="16.5" customHeight="1">
      <c r="A177" s="3" t="s">
        <v>256</v>
      </c>
      <c r="B177" s="3" t="s">
        <v>234</v>
      </c>
      <c r="C177" s="18">
        <v>6</v>
      </c>
      <c r="D177" s="49" t="s">
        <v>202</v>
      </c>
      <c r="E177" s="18">
        <v>1</v>
      </c>
      <c r="F177" s="63" t="s">
        <v>61</v>
      </c>
      <c r="G177" s="25">
        <f t="shared" si="7"/>
        <v>25000000</v>
      </c>
      <c r="H177" s="25">
        <v>25000000</v>
      </c>
      <c r="I177" s="18">
        <v>4</v>
      </c>
    </row>
    <row r="178" spans="1:9" s="136" customFormat="1" ht="12.75">
      <c r="A178" s="156"/>
      <c r="B178" s="157" t="s">
        <v>215</v>
      </c>
      <c r="C178" s="138"/>
      <c r="D178" s="229"/>
      <c r="E178" s="193"/>
      <c r="F178" s="141"/>
      <c r="G178" s="179"/>
      <c r="H178" s="149">
        <f>SUM(H179:H195)</f>
        <v>213082000</v>
      </c>
      <c r="I178" s="138"/>
    </row>
    <row r="179" spans="1:9" s="238" customFormat="1" ht="38.25">
      <c r="A179" s="231" t="s">
        <v>256</v>
      </c>
      <c r="B179" s="258" t="s">
        <v>11</v>
      </c>
      <c r="C179" s="266">
        <v>3</v>
      </c>
      <c r="D179" s="267" t="s">
        <v>203</v>
      </c>
      <c r="E179" s="268">
        <v>1</v>
      </c>
      <c r="F179" s="258" t="s">
        <v>102</v>
      </c>
      <c r="G179" s="261">
        <f t="shared" si="7"/>
        <v>90000000</v>
      </c>
      <c r="H179" s="261">
        <v>90000000</v>
      </c>
      <c r="I179" s="266">
        <v>6</v>
      </c>
    </row>
    <row r="180" spans="1:9" ht="38.25">
      <c r="A180" s="3" t="s">
        <v>256</v>
      </c>
      <c r="B180" s="3" t="s">
        <v>12</v>
      </c>
      <c r="C180" s="15">
        <v>3</v>
      </c>
      <c r="D180" s="49" t="s">
        <v>203</v>
      </c>
      <c r="E180" s="18">
        <v>1</v>
      </c>
      <c r="F180" s="3" t="s">
        <v>102</v>
      </c>
      <c r="G180" s="25">
        <f t="shared" si="7"/>
        <v>8500000</v>
      </c>
      <c r="H180" s="25">
        <v>8500000</v>
      </c>
      <c r="I180" s="15">
        <v>12</v>
      </c>
    </row>
    <row r="181" spans="1:9" ht="38.25">
      <c r="A181" s="3" t="s">
        <v>256</v>
      </c>
      <c r="B181" s="3" t="s">
        <v>13</v>
      </c>
      <c r="C181" s="15">
        <v>3</v>
      </c>
      <c r="D181" s="49" t="s">
        <v>203</v>
      </c>
      <c r="E181" s="18">
        <v>1</v>
      </c>
      <c r="F181" s="3" t="s">
        <v>102</v>
      </c>
      <c r="G181" s="25">
        <f t="shared" si="7"/>
        <v>10000000</v>
      </c>
      <c r="H181" s="25">
        <v>10000000</v>
      </c>
      <c r="I181" s="15">
        <v>10</v>
      </c>
    </row>
    <row r="182" spans="1:9" ht="38.25">
      <c r="A182" s="3" t="s">
        <v>256</v>
      </c>
      <c r="B182" s="3" t="s">
        <v>14</v>
      </c>
      <c r="C182" s="15">
        <v>3</v>
      </c>
      <c r="D182" s="49" t="s">
        <v>203</v>
      </c>
      <c r="E182" s="18">
        <v>1</v>
      </c>
      <c r="F182" s="3" t="s">
        <v>102</v>
      </c>
      <c r="G182" s="25">
        <f t="shared" si="7"/>
        <v>3000000</v>
      </c>
      <c r="H182" s="25">
        <v>3000000</v>
      </c>
      <c r="I182" s="15">
        <v>8</v>
      </c>
    </row>
    <row r="183" spans="1:9" ht="51">
      <c r="A183" s="3" t="s">
        <v>256</v>
      </c>
      <c r="B183" s="3" t="s">
        <v>15</v>
      </c>
      <c r="C183" s="15">
        <v>3</v>
      </c>
      <c r="D183" s="49" t="s">
        <v>203</v>
      </c>
      <c r="E183" s="18">
        <v>1</v>
      </c>
      <c r="F183" s="3" t="s">
        <v>102</v>
      </c>
      <c r="G183" s="25">
        <f t="shared" si="7"/>
        <v>3000000</v>
      </c>
      <c r="H183" s="25">
        <v>3000000</v>
      </c>
      <c r="I183" s="15">
        <v>7</v>
      </c>
    </row>
    <row r="184" spans="1:9" ht="51">
      <c r="A184" s="3" t="s">
        <v>256</v>
      </c>
      <c r="B184" s="3" t="s">
        <v>16</v>
      </c>
      <c r="C184" s="15">
        <v>3</v>
      </c>
      <c r="D184" s="49" t="s">
        <v>203</v>
      </c>
      <c r="E184" s="18">
        <v>1</v>
      </c>
      <c r="F184" s="3" t="s">
        <v>102</v>
      </c>
      <c r="G184" s="25">
        <f t="shared" si="7"/>
        <v>6000000</v>
      </c>
      <c r="H184" s="25">
        <v>6000000</v>
      </c>
      <c r="I184" s="15">
        <v>10</v>
      </c>
    </row>
    <row r="185" spans="1:9" ht="63.75">
      <c r="A185" s="3" t="s">
        <v>256</v>
      </c>
      <c r="B185" s="3" t="s">
        <v>17</v>
      </c>
      <c r="C185" s="15">
        <v>3</v>
      </c>
      <c r="D185" s="49" t="s">
        <v>203</v>
      </c>
      <c r="E185" s="18">
        <v>1</v>
      </c>
      <c r="F185" s="3" t="s">
        <v>102</v>
      </c>
      <c r="G185" s="25">
        <f t="shared" si="7"/>
        <v>5082000</v>
      </c>
      <c r="H185" s="25">
        <f>12000000-6918000</f>
        <v>5082000</v>
      </c>
      <c r="I185" s="15">
        <v>9</v>
      </c>
    </row>
    <row r="186" spans="1:9" ht="38.25">
      <c r="A186" s="3" t="s">
        <v>256</v>
      </c>
      <c r="B186" s="3" t="s">
        <v>18</v>
      </c>
      <c r="C186" s="15">
        <v>3</v>
      </c>
      <c r="D186" s="49" t="s">
        <v>203</v>
      </c>
      <c r="E186" s="18">
        <v>1</v>
      </c>
      <c r="F186" s="3" t="s">
        <v>102</v>
      </c>
      <c r="G186" s="25">
        <f t="shared" si="7"/>
        <v>4000000</v>
      </c>
      <c r="H186" s="25">
        <v>4000000</v>
      </c>
      <c r="I186" s="15">
        <v>7</v>
      </c>
    </row>
    <row r="187" spans="1:9" ht="38.25">
      <c r="A187" s="3" t="s">
        <v>256</v>
      </c>
      <c r="B187" s="3" t="s">
        <v>19</v>
      </c>
      <c r="C187" s="15">
        <v>3</v>
      </c>
      <c r="D187" s="49" t="s">
        <v>203</v>
      </c>
      <c r="E187" s="18">
        <v>1</v>
      </c>
      <c r="F187" s="3" t="s">
        <v>102</v>
      </c>
      <c r="G187" s="25">
        <f t="shared" si="7"/>
        <v>4000000</v>
      </c>
      <c r="H187" s="25">
        <v>4000000</v>
      </c>
      <c r="I187" s="15">
        <v>6</v>
      </c>
    </row>
    <row r="188" spans="1:9" ht="38.25">
      <c r="A188" s="3" t="s">
        <v>256</v>
      </c>
      <c r="B188" s="3" t="s">
        <v>20</v>
      </c>
      <c r="C188" s="15">
        <v>3</v>
      </c>
      <c r="D188" s="49" t="s">
        <v>203</v>
      </c>
      <c r="E188" s="18">
        <v>1</v>
      </c>
      <c r="F188" s="3" t="s">
        <v>102</v>
      </c>
      <c r="G188" s="25">
        <f t="shared" si="7"/>
        <v>900000</v>
      </c>
      <c r="H188" s="25">
        <v>900000</v>
      </c>
      <c r="I188" s="15">
        <v>10</v>
      </c>
    </row>
    <row r="189" spans="1:9" ht="51">
      <c r="A189" s="3" t="s">
        <v>256</v>
      </c>
      <c r="B189" s="3" t="s">
        <v>21</v>
      </c>
      <c r="C189" s="15">
        <v>3</v>
      </c>
      <c r="D189" s="49" t="s">
        <v>203</v>
      </c>
      <c r="E189" s="18">
        <v>1</v>
      </c>
      <c r="F189" s="3" t="s">
        <v>102</v>
      </c>
      <c r="G189" s="25">
        <f t="shared" si="7"/>
        <v>3000000</v>
      </c>
      <c r="H189" s="25">
        <v>3000000</v>
      </c>
      <c r="I189" s="15">
        <v>6</v>
      </c>
    </row>
    <row r="190" spans="1:9" ht="51">
      <c r="A190" s="3" t="s">
        <v>256</v>
      </c>
      <c r="B190" s="3" t="s">
        <v>22</v>
      </c>
      <c r="C190" s="15">
        <v>3</v>
      </c>
      <c r="D190" s="49" t="s">
        <v>203</v>
      </c>
      <c r="E190" s="18">
        <v>1</v>
      </c>
      <c r="F190" s="3" t="s">
        <v>102</v>
      </c>
      <c r="G190" s="25">
        <f t="shared" si="7"/>
        <v>2000000</v>
      </c>
      <c r="H190" s="25">
        <v>2000000</v>
      </c>
      <c r="I190" s="15">
        <v>9</v>
      </c>
    </row>
    <row r="191" spans="1:9" ht="38.25">
      <c r="A191" s="3" t="s">
        <v>256</v>
      </c>
      <c r="B191" s="3" t="s">
        <v>23</v>
      </c>
      <c r="C191" s="15">
        <v>3</v>
      </c>
      <c r="D191" s="49" t="s">
        <v>203</v>
      </c>
      <c r="E191" s="18">
        <v>1</v>
      </c>
      <c r="F191" s="3" t="s">
        <v>102</v>
      </c>
      <c r="G191" s="25">
        <f t="shared" si="7"/>
        <v>25000000</v>
      </c>
      <c r="H191" s="25">
        <v>25000000</v>
      </c>
      <c r="I191" s="266">
        <v>4</v>
      </c>
    </row>
    <row r="192" spans="1:9" ht="38.25">
      <c r="A192" s="3" t="s">
        <v>256</v>
      </c>
      <c r="B192" s="3" t="s">
        <v>24</v>
      </c>
      <c r="C192" s="15">
        <v>3</v>
      </c>
      <c r="D192" s="49" t="s">
        <v>203</v>
      </c>
      <c r="E192" s="18">
        <v>1</v>
      </c>
      <c r="F192" s="3" t="s">
        <v>102</v>
      </c>
      <c r="G192" s="25">
        <f t="shared" si="7"/>
        <v>3600000</v>
      </c>
      <c r="H192" s="25">
        <v>3600000</v>
      </c>
      <c r="I192" s="15">
        <v>6</v>
      </c>
    </row>
    <row r="193" spans="1:9" ht="38.25">
      <c r="A193" s="3" t="s">
        <v>256</v>
      </c>
      <c r="B193" s="3" t="s">
        <v>25</v>
      </c>
      <c r="C193" s="15">
        <v>3</v>
      </c>
      <c r="D193" s="49" t="s">
        <v>203</v>
      </c>
      <c r="E193" s="18">
        <v>1</v>
      </c>
      <c r="F193" s="3" t="s">
        <v>102</v>
      </c>
      <c r="G193" s="25">
        <f t="shared" si="7"/>
        <v>8000000</v>
      </c>
      <c r="H193" s="25">
        <v>8000000</v>
      </c>
      <c r="I193" s="15">
        <v>7</v>
      </c>
    </row>
    <row r="194" spans="1:9" ht="38.25">
      <c r="A194" s="3" t="s">
        <v>256</v>
      </c>
      <c r="B194" s="3" t="s">
        <v>26</v>
      </c>
      <c r="C194" s="15">
        <v>3</v>
      </c>
      <c r="D194" s="49" t="s">
        <v>203</v>
      </c>
      <c r="E194" s="18">
        <v>1</v>
      </c>
      <c r="F194" s="3" t="s">
        <v>102</v>
      </c>
      <c r="G194" s="25">
        <f t="shared" si="7"/>
        <v>7000000</v>
      </c>
      <c r="H194" s="25">
        <v>7000000</v>
      </c>
      <c r="I194" s="15"/>
    </row>
    <row r="195" spans="1:9" ht="17.25" customHeight="1">
      <c r="A195" s="3" t="s">
        <v>256</v>
      </c>
      <c r="B195" s="3" t="s">
        <v>27</v>
      </c>
      <c r="C195" s="15">
        <v>3</v>
      </c>
      <c r="D195" s="49" t="s">
        <v>203</v>
      </c>
      <c r="E195" s="18">
        <v>1</v>
      </c>
      <c r="F195" s="3" t="s">
        <v>102</v>
      </c>
      <c r="G195" s="25">
        <f t="shared" si="7"/>
        <v>30000000</v>
      </c>
      <c r="H195" s="25">
        <v>30000000</v>
      </c>
      <c r="I195" s="15"/>
    </row>
    <row r="196" spans="1:9" s="136" customFormat="1" ht="12.75">
      <c r="A196" s="156"/>
      <c r="B196" s="157" t="s">
        <v>216</v>
      </c>
      <c r="C196" s="138"/>
      <c r="D196" s="229"/>
      <c r="E196" s="193"/>
      <c r="F196" s="141"/>
      <c r="G196" s="179"/>
      <c r="H196" s="149">
        <v>20000000</v>
      </c>
      <c r="I196" s="138"/>
    </row>
    <row r="197" spans="1:9" s="178" customFormat="1" ht="25.5">
      <c r="A197" s="171"/>
      <c r="B197" s="172" t="s">
        <v>69</v>
      </c>
      <c r="C197" s="216"/>
      <c r="D197" s="217"/>
      <c r="E197" s="230"/>
      <c r="F197" s="214"/>
      <c r="G197" s="215"/>
      <c r="H197" s="176">
        <f>SUM(H198:H199)</f>
        <v>1460400000</v>
      </c>
      <c r="I197" s="216"/>
    </row>
    <row r="198" spans="1:9" s="136" customFormat="1" ht="12.75">
      <c r="A198" s="156"/>
      <c r="B198" s="157" t="s">
        <v>217</v>
      </c>
      <c r="C198" s="138"/>
      <c r="D198" s="166" t="s">
        <v>238</v>
      </c>
      <c r="E198" s="193"/>
      <c r="F198" s="141"/>
      <c r="G198" s="179"/>
      <c r="H198" s="149">
        <v>180000000</v>
      </c>
      <c r="I198" s="138"/>
    </row>
    <row r="199" spans="1:9" s="136" customFormat="1" ht="33" customHeight="1">
      <c r="A199" s="156"/>
      <c r="B199" s="157" t="s">
        <v>69</v>
      </c>
      <c r="C199" s="138"/>
      <c r="D199" s="229"/>
      <c r="E199" s="140"/>
      <c r="F199" s="141"/>
      <c r="G199" s="179"/>
      <c r="H199" s="149">
        <f>H200</f>
        <v>1280400000</v>
      </c>
      <c r="I199" s="138"/>
    </row>
    <row r="200" spans="1:9" s="11" customFormat="1" ht="34.5" customHeight="1">
      <c r="A200" s="4" t="s">
        <v>252</v>
      </c>
      <c r="B200" s="3" t="s">
        <v>0</v>
      </c>
      <c r="C200" s="14">
        <v>3</v>
      </c>
      <c r="D200" s="53" t="s">
        <v>204</v>
      </c>
      <c r="E200" s="13">
        <v>1</v>
      </c>
      <c r="F200" s="47" t="s">
        <v>48</v>
      </c>
      <c r="G200" s="25">
        <f>H200/E200</f>
        <v>1280400000</v>
      </c>
      <c r="H200" s="25">
        <v>1280400000</v>
      </c>
      <c r="I200" s="14">
        <v>2</v>
      </c>
    </row>
    <row r="201" spans="1:9" s="100" customFormat="1" ht="20.25" customHeight="1">
      <c r="A201" s="152"/>
      <c r="B201" s="94" t="s">
        <v>225</v>
      </c>
      <c r="C201" s="130"/>
      <c r="D201" s="134"/>
      <c r="E201" s="131"/>
      <c r="F201" s="132"/>
      <c r="G201" s="133"/>
      <c r="H201" s="96">
        <f>H202+H218</f>
        <v>1189018000</v>
      </c>
      <c r="I201" s="130"/>
    </row>
    <row r="202" spans="1:9" s="178" customFormat="1" ht="12.75" customHeight="1">
      <c r="A202" s="171"/>
      <c r="B202" s="172" t="s">
        <v>161</v>
      </c>
      <c r="C202" s="216"/>
      <c r="D202" s="254"/>
      <c r="E202" s="213"/>
      <c r="F202" s="214"/>
      <c r="G202" s="215"/>
      <c r="H202" s="176">
        <f>H203+H210+H212+H214</f>
        <v>973018000</v>
      </c>
      <c r="I202" s="216"/>
    </row>
    <row r="203" spans="1:9" s="136" customFormat="1" ht="52.5" customHeight="1">
      <c r="A203" s="156"/>
      <c r="B203" s="137" t="s">
        <v>221</v>
      </c>
      <c r="C203" s="138"/>
      <c r="D203" s="166" t="s">
        <v>233</v>
      </c>
      <c r="E203" s="140"/>
      <c r="F203" s="141"/>
      <c r="G203" s="142"/>
      <c r="H203" s="255">
        <f>SUM(H204:H209)</f>
        <v>232018000</v>
      </c>
      <c r="I203" s="138"/>
    </row>
    <row r="204" spans="1:9" s="262" customFormat="1" ht="32.25" customHeight="1">
      <c r="A204" s="257" t="s">
        <v>252</v>
      </c>
      <c r="B204" s="264" t="s">
        <v>271</v>
      </c>
      <c r="C204" s="259">
        <v>3</v>
      </c>
      <c r="D204" s="234"/>
      <c r="E204" s="260"/>
      <c r="F204" s="235"/>
      <c r="G204" s="261"/>
      <c r="H204" s="263">
        <v>6500000</v>
      </c>
      <c r="I204" s="259">
        <v>7</v>
      </c>
    </row>
    <row r="205" spans="1:9" s="262" customFormat="1" ht="26.25" customHeight="1">
      <c r="A205" s="257" t="s">
        <v>252</v>
      </c>
      <c r="B205" s="264" t="s">
        <v>272</v>
      </c>
      <c r="C205" s="259">
        <v>3</v>
      </c>
      <c r="D205" s="234" t="s">
        <v>233</v>
      </c>
      <c r="E205" s="265">
        <v>4</v>
      </c>
      <c r="F205" s="264" t="s">
        <v>61</v>
      </c>
      <c r="G205" s="261">
        <f aca="true" t="shared" si="8" ref="G205:G217">H205/E205</f>
        <v>3750000</v>
      </c>
      <c r="H205" s="261">
        <v>15000000</v>
      </c>
      <c r="I205" s="237">
        <v>8</v>
      </c>
    </row>
    <row r="206" spans="1:9" s="11" customFormat="1" ht="40.5" customHeight="1">
      <c r="A206" s="4" t="s">
        <v>276</v>
      </c>
      <c r="B206" s="32" t="s">
        <v>82</v>
      </c>
      <c r="C206" s="14">
        <v>3</v>
      </c>
      <c r="D206" s="51" t="s">
        <v>233</v>
      </c>
      <c r="E206" s="64">
        <v>1</v>
      </c>
      <c r="F206" s="47" t="s">
        <v>61</v>
      </c>
      <c r="G206" s="25">
        <f t="shared" si="8"/>
        <v>50000000</v>
      </c>
      <c r="H206" s="46">
        <v>50000000</v>
      </c>
      <c r="I206" s="15">
        <v>3</v>
      </c>
    </row>
    <row r="207" spans="1:9" s="11" customFormat="1" ht="43.5" customHeight="1">
      <c r="A207" s="4" t="s">
        <v>276</v>
      </c>
      <c r="B207" s="65" t="s">
        <v>83</v>
      </c>
      <c r="C207" s="14">
        <v>3</v>
      </c>
      <c r="D207" s="51" t="s">
        <v>233</v>
      </c>
      <c r="E207" s="64">
        <v>1</v>
      </c>
      <c r="F207" s="47" t="s">
        <v>61</v>
      </c>
      <c r="G207" s="25">
        <f t="shared" si="8"/>
        <v>50000000</v>
      </c>
      <c r="H207" s="46">
        <v>50000000</v>
      </c>
      <c r="I207" s="15">
        <v>3</v>
      </c>
    </row>
    <row r="208" spans="1:9" s="11" customFormat="1" ht="62.25" customHeight="1">
      <c r="A208" s="4" t="s">
        <v>276</v>
      </c>
      <c r="B208" s="32" t="s">
        <v>84</v>
      </c>
      <c r="C208" s="14">
        <v>3</v>
      </c>
      <c r="D208" s="51" t="s">
        <v>233</v>
      </c>
      <c r="E208" s="64">
        <v>1</v>
      </c>
      <c r="F208" s="47" t="s">
        <v>61</v>
      </c>
      <c r="G208" s="25">
        <f t="shared" si="8"/>
        <v>92000000</v>
      </c>
      <c r="H208" s="46">
        <v>92000000</v>
      </c>
      <c r="I208" s="15">
        <v>3</v>
      </c>
    </row>
    <row r="209" spans="1:9" s="11" customFormat="1" ht="40.5" customHeight="1">
      <c r="A209" s="4" t="s">
        <v>276</v>
      </c>
      <c r="B209" s="32" t="s">
        <v>10</v>
      </c>
      <c r="C209" s="14">
        <v>3</v>
      </c>
      <c r="D209" s="51" t="s">
        <v>233</v>
      </c>
      <c r="E209" s="64">
        <v>1</v>
      </c>
      <c r="F209" s="47" t="s">
        <v>61</v>
      </c>
      <c r="G209" s="25">
        <f t="shared" si="8"/>
        <v>18518000</v>
      </c>
      <c r="H209" s="46">
        <v>18518000</v>
      </c>
      <c r="I209" s="15">
        <v>7</v>
      </c>
    </row>
    <row r="210" spans="1:9" s="244" customFormat="1" ht="24.75" customHeight="1">
      <c r="A210" s="240"/>
      <c r="B210" s="245" t="s">
        <v>222</v>
      </c>
      <c r="C210" s="241"/>
      <c r="D210" s="246" t="s">
        <v>232</v>
      </c>
      <c r="E210" s="247"/>
      <c r="F210" s="242"/>
      <c r="G210" s="243"/>
      <c r="H210" s="248">
        <f>SUM(H211:H211)</f>
        <v>153000000</v>
      </c>
      <c r="I210" s="249"/>
    </row>
    <row r="211" spans="1:9" s="244" customFormat="1" ht="24.75" customHeight="1">
      <c r="A211" s="240"/>
      <c r="B211" s="32" t="s">
        <v>258</v>
      </c>
      <c r="C211" s="14">
        <v>3</v>
      </c>
      <c r="D211" s="53" t="s">
        <v>232</v>
      </c>
      <c r="E211" s="67">
        <v>1</v>
      </c>
      <c r="F211" s="47" t="s">
        <v>100</v>
      </c>
      <c r="G211" s="25">
        <f>H211/E211</f>
        <v>153000000</v>
      </c>
      <c r="H211" s="68">
        <v>153000000</v>
      </c>
      <c r="I211" s="67">
        <v>2</v>
      </c>
    </row>
    <row r="212" spans="1:9" s="136" customFormat="1" ht="38.25">
      <c r="A212" s="156"/>
      <c r="B212" s="137" t="s">
        <v>223</v>
      </c>
      <c r="C212" s="138"/>
      <c r="D212" s="139"/>
      <c r="E212" s="140"/>
      <c r="F212" s="141"/>
      <c r="G212" s="142">
        <v>3650000</v>
      </c>
      <c r="H212" s="255">
        <f>H213</f>
        <v>200000000</v>
      </c>
      <c r="I212" s="138"/>
    </row>
    <row r="213" spans="1:9" s="11" customFormat="1" ht="65.25" customHeight="1">
      <c r="A213" s="4" t="s">
        <v>252</v>
      </c>
      <c r="B213" s="37" t="s">
        <v>274</v>
      </c>
      <c r="C213" s="14"/>
      <c r="D213" s="53" t="s">
        <v>231</v>
      </c>
      <c r="E213" s="67">
        <v>1</v>
      </c>
      <c r="F213" s="47" t="s">
        <v>100</v>
      </c>
      <c r="G213" s="25">
        <f>H213/E213</f>
        <v>200000000</v>
      </c>
      <c r="H213" s="53">
        <v>200000000</v>
      </c>
      <c r="I213" s="38">
        <v>7</v>
      </c>
    </row>
    <row r="214" spans="1:9" s="136" customFormat="1" ht="51">
      <c r="A214" s="156"/>
      <c r="B214" s="137" t="s">
        <v>224</v>
      </c>
      <c r="C214" s="138"/>
      <c r="D214" s="139"/>
      <c r="E214" s="140"/>
      <c r="F214" s="141"/>
      <c r="G214" s="142"/>
      <c r="H214" s="146">
        <f>SUM(H215:H217)</f>
        <v>388000000</v>
      </c>
      <c r="I214" s="138"/>
    </row>
    <row r="215" spans="1:9" s="11" customFormat="1" ht="25.5">
      <c r="A215" s="4"/>
      <c r="B215" s="32" t="s">
        <v>81</v>
      </c>
      <c r="C215" s="14">
        <v>3</v>
      </c>
      <c r="D215" s="53" t="s">
        <v>34</v>
      </c>
      <c r="E215" s="33">
        <v>7.5</v>
      </c>
      <c r="F215" s="47" t="s">
        <v>61</v>
      </c>
      <c r="G215" s="25">
        <f t="shared" si="8"/>
        <v>800000</v>
      </c>
      <c r="H215" s="53">
        <v>6000000</v>
      </c>
      <c r="I215" s="74">
        <v>5</v>
      </c>
    </row>
    <row r="216" spans="1:9" s="11" customFormat="1" ht="25.5">
      <c r="A216" s="4"/>
      <c r="B216" s="32" t="s">
        <v>1</v>
      </c>
      <c r="C216" s="14">
        <v>3</v>
      </c>
      <c r="D216" s="53" t="s">
        <v>34</v>
      </c>
      <c r="E216" s="64">
        <v>3</v>
      </c>
      <c r="F216" s="47" t="s">
        <v>61</v>
      </c>
      <c r="G216" s="25">
        <f t="shared" si="8"/>
        <v>105333333.33333333</v>
      </c>
      <c r="H216" s="66">
        <v>316000000</v>
      </c>
      <c r="I216" s="74">
        <v>3</v>
      </c>
    </row>
    <row r="217" spans="1:9" s="11" customFormat="1" ht="25.5">
      <c r="A217" s="4"/>
      <c r="B217" s="32" t="s">
        <v>2</v>
      </c>
      <c r="C217" s="14">
        <v>3</v>
      </c>
      <c r="D217" s="53" t="s">
        <v>34</v>
      </c>
      <c r="E217" s="64">
        <v>3</v>
      </c>
      <c r="F217" s="47" t="s">
        <v>61</v>
      </c>
      <c r="G217" s="25">
        <f t="shared" si="8"/>
        <v>22000000</v>
      </c>
      <c r="H217" s="66">
        <v>66000000</v>
      </c>
      <c r="I217" s="74">
        <v>2</v>
      </c>
    </row>
    <row r="218" spans="1:9" s="253" customFormat="1" ht="27" customHeight="1">
      <c r="A218" s="250"/>
      <c r="B218" s="251" t="s">
        <v>162</v>
      </c>
      <c r="C218" s="177"/>
      <c r="D218" s="252"/>
      <c r="E218" s="173"/>
      <c r="F218" s="175"/>
      <c r="G218" s="176"/>
      <c r="H218" s="176">
        <f>SUM(H219)</f>
        <v>216000000</v>
      </c>
      <c r="I218" s="207"/>
    </row>
    <row r="219" spans="1:9" s="136" customFormat="1" ht="38.25" customHeight="1">
      <c r="A219" s="156"/>
      <c r="B219" s="137" t="s">
        <v>221</v>
      </c>
      <c r="C219" s="138">
        <v>3</v>
      </c>
      <c r="D219" s="139" t="s">
        <v>35</v>
      </c>
      <c r="E219" s="140"/>
      <c r="F219" s="141"/>
      <c r="G219" s="142"/>
      <c r="H219" s="142">
        <f>SUM(H220:H222)</f>
        <v>216000000</v>
      </c>
      <c r="I219" s="151">
        <v>2</v>
      </c>
    </row>
    <row r="220" spans="1:9" s="238" customFormat="1" ht="25.5">
      <c r="A220" s="231"/>
      <c r="B220" s="232" t="s">
        <v>275</v>
      </c>
      <c r="C220" s="233">
        <v>3</v>
      </c>
      <c r="D220" s="234" t="s">
        <v>150</v>
      </c>
      <c r="E220" s="233">
        <v>1</v>
      </c>
      <c r="F220" s="235" t="s">
        <v>61</v>
      </c>
      <c r="G220" s="25">
        <f>H220/E220</f>
        <v>50000000</v>
      </c>
      <c r="H220" s="236">
        <v>50000000</v>
      </c>
      <c r="I220" s="237">
        <v>2</v>
      </c>
    </row>
    <row r="221" spans="1:9" s="238" customFormat="1" ht="70.5" customHeight="1">
      <c r="A221" s="231"/>
      <c r="B221" s="232" t="s">
        <v>178</v>
      </c>
      <c r="C221" s="239">
        <v>6</v>
      </c>
      <c r="D221" s="234" t="s">
        <v>55</v>
      </c>
      <c r="E221" s="233">
        <v>4</v>
      </c>
      <c r="F221" s="235" t="s">
        <v>61</v>
      </c>
      <c r="G221" s="25">
        <f>H221/E221</f>
        <v>4000000</v>
      </c>
      <c r="H221" s="236">
        <v>16000000</v>
      </c>
      <c r="I221" s="239">
        <v>3</v>
      </c>
    </row>
    <row r="222" spans="1:9" ht="70.5" customHeight="1">
      <c r="A222" s="72"/>
      <c r="B222" s="37" t="s">
        <v>273</v>
      </c>
      <c r="C222" s="22">
        <v>6</v>
      </c>
      <c r="D222" s="234" t="s">
        <v>55</v>
      </c>
      <c r="E222" s="72"/>
      <c r="F222" s="72"/>
      <c r="G222" s="27"/>
      <c r="H222" s="27">
        <v>150000000</v>
      </c>
      <c r="I222" s="22"/>
    </row>
  </sheetData>
  <sheetProtection formatCells="0" formatColumns="0" formatRows="0" sort="0" autoFilter="0"/>
  <mergeCells count="14">
    <mergeCell ref="A14:A15"/>
    <mergeCell ref="F14:F15"/>
    <mergeCell ref="D14:D15"/>
    <mergeCell ref="G14:G15"/>
    <mergeCell ref="B1:I1"/>
    <mergeCell ref="B2:I2"/>
    <mergeCell ref="B3:I3"/>
    <mergeCell ref="B7:I7"/>
    <mergeCell ref="B14:B15"/>
    <mergeCell ref="B13:I13"/>
    <mergeCell ref="I14:I15"/>
    <mergeCell ref="C14:C15"/>
    <mergeCell ref="E14:E15"/>
    <mergeCell ref="H14:H15"/>
  </mergeCells>
  <dataValidations count="1">
    <dataValidation allowBlank="1" showErrorMessage="1" sqref="H221 G23 H215:H217 H205:H209"/>
  </dataValidations>
  <printOptions horizontalCentered="1" verticalCentered="1"/>
  <pageMargins left="0.1968503937007874" right="0" top="0.1968503937007874" bottom="0.5905511811023623" header="0" footer="0.1968503937007874"/>
  <pageSetup horizontalDpi="300" verticalDpi="300" orientation="landscape" paperSize="123" scale="65" r:id="rId1"/>
  <headerFooter alignWithMargins="0">
    <oddFooter>&amp;CPágina &amp;P de &amp;N</oddFooter>
  </headerFooter>
  <ignoredErrors>
    <ignoredError sqref="H55 H53" formula="1"/>
    <ignoredError sqref="H62 H148 H178" formulaRange="1"/>
  </ignoredErrors>
</worksheet>
</file>

<file path=xl/worksheets/sheet2.xml><?xml version="1.0" encoding="utf-8"?>
<worksheet xmlns="http://schemas.openxmlformats.org/spreadsheetml/2006/main" xmlns:r="http://schemas.openxmlformats.org/officeDocument/2006/relationships">
  <dimension ref="A1:J206"/>
  <sheetViews>
    <sheetView tabSelected="1" zoomScalePageLayoutView="0" workbookViewId="0" topLeftCell="A13">
      <selection activeCell="B13" sqref="B13:I13"/>
    </sheetView>
  </sheetViews>
  <sheetFormatPr defaultColWidth="11.421875" defaultRowHeight="12.75"/>
  <cols>
    <col min="1" max="1" width="14.28125" style="364" customWidth="1"/>
    <col min="2" max="2" width="45.421875" style="270" customWidth="1"/>
    <col min="3" max="6" width="19.28125" style="381" customWidth="1"/>
    <col min="7" max="8" width="19.28125" style="382" customWidth="1"/>
    <col min="9" max="9" width="19.28125" style="381" customWidth="1"/>
    <col min="10" max="10" width="19.00390625" style="364" customWidth="1"/>
    <col min="11" max="16384" width="11.421875" style="364" customWidth="1"/>
  </cols>
  <sheetData>
    <row r="1" spans="2:9" s="270" customFormat="1" ht="12.75" customHeight="1" hidden="1">
      <c r="B1" s="433"/>
      <c r="C1" s="433"/>
      <c r="D1" s="433"/>
      <c r="E1" s="433"/>
      <c r="F1" s="433"/>
      <c r="G1" s="433"/>
      <c r="H1" s="433"/>
      <c r="I1" s="434"/>
    </row>
    <row r="2" spans="2:9" s="270" customFormat="1" ht="12.75" customHeight="1" hidden="1">
      <c r="B2" s="433"/>
      <c r="C2" s="433"/>
      <c r="D2" s="433"/>
      <c r="E2" s="433"/>
      <c r="F2" s="433"/>
      <c r="G2" s="433"/>
      <c r="H2" s="433"/>
      <c r="I2" s="434"/>
    </row>
    <row r="3" spans="2:9" s="270" customFormat="1" ht="12.75" customHeight="1" hidden="1">
      <c r="B3" s="433"/>
      <c r="C3" s="433"/>
      <c r="D3" s="433"/>
      <c r="E3" s="433"/>
      <c r="F3" s="433"/>
      <c r="G3" s="433"/>
      <c r="H3" s="433"/>
      <c r="I3" s="434"/>
    </row>
    <row r="4" spans="2:9" s="270" customFormat="1" ht="12.75" hidden="1">
      <c r="B4" s="271"/>
      <c r="C4" s="15"/>
      <c r="D4" s="15"/>
      <c r="E4" s="15"/>
      <c r="F4" s="15"/>
      <c r="G4" s="272"/>
      <c r="H4" s="272"/>
      <c r="I4" s="15"/>
    </row>
    <row r="5" spans="2:9" s="270" customFormat="1" ht="12.75" hidden="1">
      <c r="B5" s="271"/>
      <c r="C5" s="15"/>
      <c r="D5" s="15"/>
      <c r="E5" s="15"/>
      <c r="F5" s="15"/>
      <c r="G5" s="272"/>
      <c r="H5" s="272"/>
      <c r="I5" s="15"/>
    </row>
    <row r="6" spans="2:9" s="270" customFormat="1" ht="12.75" hidden="1">
      <c r="B6" s="271"/>
      <c r="C6" s="15"/>
      <c r="D6" s="15"/>
      <c r="E6" s="15"/>
      <c r="F6" s="15"/>
      <c r="G6" s="272"/>
      <c r="H6" s="272"/>
      <c r="I6" s="15"/>
    </row>
    <row r="7" spans="2:9" s="270" customFormat="1" ht="12.75" customHeight="1" hidden="1">
      <c r="B7" s="433"/>
      <c r="C7" s="433"/>
      <c r="D7" s="433"/>
      <c r="E7" s="433"/>
      <c r="F7" s="433"/>
      <c r="G7" s="433"/>
      <c r="H7" s="433"/>
      <c r="I7" s="434"/>
    </row>
    <row r="8" spans="2:9" s="270" customFormat="1" ht="12.75" customHeight="1" hidden="1">
      <c r="B8" s="273"/>
      <c r="C8" s="273"/>
      <c r="D8" s="273"/>
      <c r="E8" s="273"/>
      <c r="F8" s="273"/>
      <c r="G8" s="274"/>
      <c r="H8" s="274"/>
      <c r="I8" s="15"/>
    </row>
    <row r="9" spans="2:9" s="270" customFormat="1" ht="12.75" customHeight="1" hidden="1">
      <c r="B9" s="275"/>
      <c r="C9" s="273"/>
      <c r="D9" s="273"/>
      <c r="E9" s="273"/>
      <c r="F9" s="273"/>
      <c r="G9" s="272"/>
      <c r="H9" s="272"/>
      <c r="I9" s="15"/>
    </row>
    <row r="10" spans="2:9" s="270" customFormat="1" ht="12.75" customHeight="1" hidden="1">
      <c r="B10" s="273"/>
      <c r="C10" s="273"/>
      <c r="D10" s="273"/>
      <c r="E10" s="273"/>
      <c r="F10" s="273"/>
      <c r="G10" s="274"/>
      <c r="H10" s="272"/>
      <c r="I10" s="15"/>
    </row>
    <row r="11" spans="2:9" s="270" customFormat="1" ht="12.75" hidden="1">
      <c r="B11" s="271"/>
      <c r="C11" s="15"/>
      <c r="D11" s="15"/>
      <c r="E11" s="15"/>
      <c r="F11" s="15"/>
      <c r="G11" s="272"/>
      <c r="H11" s="272"/>
      <c r="I11" s="273"/>
    </row>
    <row r="12" spans="2:9" s="270" customFormat="1" ht="12.75" hidden="1">
      <c r="B12" s="276"/>
      <c r="C12" s="277"/>
      <c r="D12" s="277"/>
      <c r="E12" s="277"/>
      <c r="F12" s="277"/>
      <c r="G12" s="278"/>
      <c r="H12" s="278"/>
      <c r="I12" s="277"/>
    </row>
    <row r="13" spans="2:9" s="270" customFormat="1" ht="36.75" customHeight="1">
      <c r="B13" s="435" t="s">
        <v>399</v>
      </c>
      <c r="C13" s="435"/>
      <c r="D13" s="435"/>
      <c r="E13" s="435"/>
      <c r="F13" s="435"/>
      <c r="G13" s="435"/>
      <c r="H13" s="435"/>
      <c r="I13" s="436"/>
    </row>
    <row r="14" spans="1:9" s="279" customFormat="1" ht="38.25" customHeight="1">
      <c r="A14" s="428" t="s">
        <v>246</v>
      </c>
      <c r="B14" s="428" t="s">
        <v>251</v>
      </c>
      <c r="C14" s="428" t="s">
        <v>218</v>
      </c>
      <c r="D14" s="428" t="s">
        <v>219</v>
      </c>
      <c r="E14" s="428" t="s">
        <v>241</v>
      </c>
      <c r="F14" s="428" t="s">
        <v>242</v>
      </c>
      <c r="G14" s="432" t="s">
        <v>243</v>
      </c>
      <c r="H14" s="431" t="s">
        <v>244</v>
      </c>
      <c r="I14" s="428" t="s">
        <v>245</v>
      </c>
    </row>
    <row r="15" spans="1:9" s="279" customFormat="1" ht="29.25" customHeight="1">
      <c r="A15" s="428" t="s">
        <v>246</v>
      </c>
      <c r="B15" s="428"/>
      <c r="C15" s="428"/>
      <c r="D15" s="428"/>
      <c r="E15" s="428"/>
      <c r="F15" s="428"/>
      <c r="G15" s="432"/>
      <c r="H15" s="431"/>
      <c r="I15" s="428"/>
    </row>
    <row r="16" spans="1:9" s="292" customFormat="1" ht="24.75" customHeight="1">
      <c r="A16" s="280"/>
      <c r="B16" s="281" t="s">
        <v>56</v>
      </c>
      <c r="C16" s="282"/>
      <c r="D16" s="389"/>
      <c r="E16" s="283"/>
      <c r="F16" s="412"/>
      <c r="G16" s="284"/>
      <c r="H16" s="285">
        <f>+H17+H21</f>
        <v>11270470343.36</v>
      </c>
      <c r="I16" s="286"/>
    </row>
    <row r="17" spans="1:9" s="292" customFormat="1" ht="12.75">
      <c r="A17" s="287"/>
      <c r="B17" s="288" t="s">
        <v>57</v>
      </c>
      <c r="C17" s="289"/>
      <c r="D17" s="390"/>
      <c r="E17" s="290"/>
      <c r="F17" s="289"/>
      <c r="G17" s="291"/>
      <c r="H17" s="291">
        <f>SUM(H18:H19)</f>
        <v>61894224</v>
      </c>
      <c r="I17" s="289"/>
    </row>
    <row r="18" spans="1:9" s="292" customFormat="1" ht="16.5" customHeight="1">
      <c r="A18" s="42" t="s">
        <v>250</v>
      </c>
      <c r="B18" s="35" t="s">
        <v>255</v>
      </c>
      <c r="C18" s="15">
        <v>3</v>
      </c>
      <c r="D18" s="391" t="s">
        <v>283</v>
      </c>
      <c r="E18" s="16">
        <v>1</v>
      </c>
      <c r="F18" s="15" t="s">
        <v>70</v>
      </c>
      <c r="G18" s="272">
        <f>+H18</f>
        <v>18487000</v>
      </c>
      <c r="H18" s="272">
        <v>18487000</v>
      </c>
      <c r="I18" s="266">
        <v>2</v>
      </c>
    </row>
    <row r="19" spans="1:9" s="292" customFormat="1" ht="13.5" customHeight="1">
      <c r="A19" s="42" t="s">
        <v>250</v>
      </c>
      <c r="B19" s="35" t="s">
        <v>159</v>
      </c>
      <c r="C19" s="15">
        <v>3</v>
      </c>
      <c r="D19" s="391" t="s">
        <v>284</v>
      </c>
      <c r="E19" s="16">
        <v>1</v>
      </c>
      <c r="F19" s="15" t="s">
        <v>70</v>
      </c>
      <c r="G19" s="272">
        <f>+H19</f>
        <v>43407224</v>
      </c>
      <c r="H19" s="272">
        <v>43407224</v>
      </c>
      <c r="I19" s="266">
        <v>2</v>
      </c>
    </row>
    <row r="20" spans="1:9" s="292" customFormat="1" ht="13.5" customHeight="1">
      <c r="A20" s="42" t="s">
        <v>250</v>
      </c>
      <c r="B20" s="35" t="s">
        <v>280</v>
      </c>
      <c r="C20" s="15">
        <v>3</v>
      </c>
      <c r="D20" s="391" t="s">
        <v>285</v>
      </c>
      <c r="E20" s="16">
        <v>1</v>
      </c>
      <c r="F20" s="15" t="s">
        <v>70</v>
      </c>
      <c r="G20" s="272">
        <v>6420600</v>
      </c>
      <c r="H20" s="272">
        <v>6420600</v>
      </c>
      <c r="I20" s="266">
        <v>12</v>
      </c>
    </row>
    <row r="21" spans="1:10" s="292" customFormat="1" ht="12.75">
      <c r="A21" s="287"/>
      <c r="B21" s="288" t="s">
        <v>71</v>
      </c>
      <c r="C21" s="289"/>
      <c r="D21" s="390"/>
      <c r="E21" s="290"/>
      <c r="F21" s="289"/>
      <c r="G21" s="417"/>
      <c r="H21" s="291">
        <f>+H22+H39+H42+H49+H51+H65+H71+H76+H105+H130+H131+H133+H145+H149+H151+H174</f>
        <v>11208576119.36</v>
      </c>
      <c r="I21" s="407"/>
      <c r="J21" s="408"/>
    </row>
    <row r="22" spans="1:10" s="292" customFormat="1" ht="12.75">
      <c r="A22" s="293"/>
      <c r="B22" s="294" t="s">
        <v>58</v>
      </c>
      <c r="C22" s="295"/>
      <c r="D22" s="392"/>
      <c r="E22" s="296"/>
      <c r="F22" s="295"/>
      <c r="G22" s="297"/>
      <c r="H22" s="298">
        <f>+H23+H25+H28+H34</f>
        <v>1899584926</v>
      </c>
      <c r="I22" s="295"/>
      <c r="J22" s="406"/>
    </row>
    <row r="23" spans="1:9" s="292" customFormat="1" ht="12.75">
      <c r="A23" s="299"/>
      <c r="B23" s="300" t="s">
        <v>207</v>
      </c>
      <c r="C23" s="110"/>
      <c r="D23" s="110"/>
      <c r="E23" s="301"/>
      <c r="F23" s="110"/>
      <c r="G23" s="302"/>
      <c r="H23" s="303">
        <f>SUM(H24:H24)</f>
        <v>451610519</v>
      </c>
      <c r="I23" s="110"/>
    </row>
    <row r="24" spans="1:9" s="292" customFormat="1" ht="37.5" customHeight="1">
      <c r="A24" s="42" t="s">
        <v>247</v>
      </c>
      <c r="B24" s="32" t="s">
        <v>279</v>
      </c>
      <c r="C24" s="33">
        <v>6</v>
      </c>
      <c r="D24" s="15" t="s">
        <v>281</v>
      </c>
      <c r="E24" s="15">
        <v>1</v>
      </c>
      <c r="F24" s="15" t="s">
        <v>48</v>
      </c>
      <c r="G24" s="46">
        <v>2500000</v>
      </c>
      <c r="H24" s="50">
        <v>451610519</v>
      </c>
      <c r="I24" s="15">
        <v>10</v>
      </c>
    </row>
    <row r="25" spans="1:9" s="292" customFormat="1" ht="12.75">
      <c r="A25" s="299"/>
      <c r="B25" s="300" t="s">
        <v>220</v>
      </c>
      <c r="C25" s="110"/>
      <c r="D25" s="110"/>
      <c r="E25" s="301"/>
      <c r="F25" s="110"/>
      <c r="G25" s="302"/>
      <c r="H25" s="303">
        <f>SUM(H26:H27)</f>
        <v>672679918</v>
      </c>
      <c r="I25" s="110"/>
    </row>
    <row r="26" spans="1:9" s="292" customFormat="1" ht="90.75" customHeight="1">
      <c r="A26" s="42" t="s">
        <v>247</v>
      </c>
      <c r="B26" s="32" t="s">
        <v>74</v>
      </c>
      <c r="C26" s="33">
        <v>6</v>
      </c>
      <c r="D26" s="15" t="s">
        <v>282</v>
      </c>
      <c r="E26" s="15">
        <v>1</v>
      </c>
      <c r="F26" s="15" t="s">
        <v>48</v>
      </c>
      <c r="G26" s="46">
        <f>H26/E26</f>
        <v>337575718</v>
      </c>
      <c r="H26" s="46">
        <v>337575718</v>
      </c>
      <c r="I26" s="15">
        <v>7</v>
      </c>
    </row>
    <row r="27" spans="1:9" s="292" customFormat="1" ht="21" customHeight="1">
      <c r="A27" s="42" t="s">
        <v>247</v>
      </c>
      <c r="B27" s="35" t="s">
        <v>172</v>
      </c>
      <c r="C27" s="33">
        <v>6</v>
      </c>
      <c r="D27" s="15" t="s">
        <v>282</v>
      </c>
      <c r="E27" s="15">
        <v>2</v>
      </c>
      <c r="F27" s="15" t="s">
        <v>70</v>
      </c>
      <c r="G27" s="46">
        <f>H27/E27</f>
        <v>167552100</v>
      </c>
      <c r="H27" s="46">
        <v>335104200</v>
      </c>
      <c r="I27" s="266">
        <v>5</v>
      </c>
    </row>
    <row r="28" spans="1:9" s="292" customFormat="1" ht="18" customHeight="1">
      <c r="A28" s="299"/>
      <c r="B28" s="304" t="s">
        <v>182</v>
      </c>
      <c r="C28" s="110"/>
      <c r="D28" s="110"/>
      <c r="E28" s="301"/>
      <c r="F28" s="110"/>
      <c r="G28" s="302"/>
      <c r="H28" s="303">
        <f>SUM(H29:H33)</f>
        <v>107388044</v>
      </c>
      <c r="I28" s="110"/>
    </row>
    <row r="29" spans="1:9" s="292" customFormat="1" ht="11.25" customHeight="1">
      <c r="A29" s="42" t="s">
        <v>248</v>
      </c>
      <c r="B29" s="42" t="s">
        <v>79</v>
      </c>
      <c r="C29" s="15">
        <v>6</v>
      </c>
      <c r="D29" s="15" t="s">
        <v>286</v>
      </c>
      <c r="E29" s="16">
        <v>1</v>
      </c>
      <c r="F29" s="15" t="s">
        <v>70</v>
      </c>
      <c r="G29" s="46">
        <f aca="true" t="shared" si="0" ref="G29:G38">H29/E29</f>
        <v>33107709</v>
      </c>
      <c r="H29" s="418">
        <v>33107709</v>
      </c>
      <c r="I29" s="15">
        <v>5</v>
      </c>
    </row>
    <row r="30" spans="1:9" s="292" customFormat="1" ht="11.25" customHeight="1">
      <c r="A30" s="42" t="s">
        <v>248</v>
      </c>
      <c r="B30" s="42" t="s">
        <v>103</v>
      </c>
      <c r="C30" s="15">
        <v>6</v>
      </c>
      <c r="D30" s="15" t="s">
        <v>286</v>
      </c>
      <c r="E30" s="16">
        <v>1</v>
      </c>
      <c r="F30" s="15" t="s">
        <v>70</v>
      </c>
      <c r="G30" s="46">
        <f t="shared" si="0"/>
        <v>8970506</v>
      </c>
      <c r="H30" s="272">
        <v>8970506</v>
      </c>
      <c r="I30" s="15">
        <v>5</v>
      </c>
    </row>
    <row r="31" spans="1:9" s="292" customFormat="1" ht="11.25" customHeight="1">
      <c r="A31" s="42" t="s">
        <v>248</v>
      </c>
      <c r="B31" s="42" t="s">
        <v>104</v>
      </c>
      <c r="C31" s="15">
        <v>6</v>
      </c>
      <c r="D31" s="15" t="s">
        <v>286</v>
      </c>
      <c r="E31" s="16">
        <v>1</v>
      </c>
      <c r="F31" s="15" t="s">
        <v>70</v>
      </c>
      <c r="G31" s="46">
        <f t="shared" si="0"/>
        <v>25566400</v>
      </c>
      <c r="H31" s="418">
        <v>25566400</v>
      </c>
      <c r="I31" s="15">
        <v>5</v>
      </c>
    </row>
    <row r="32" spans="1:9" s="292" customFormat="1" ht="11.25" customHeight="1">
      <c r="A32" s="42" t="s">
        <v>248</v>
      </c>
      <c r="B32" s="42" t="s">
        <v>109</v>
      </c>
      <c r="C32" s="15">
        <v>6</v>
      </c>
      <c r="D32" s="15" t="s">
        <v>286</v>
      </c>
      <c r="E32" s="16">
        <v>11</v>
      </c>
      <c r="F32" s="15" t="s">
        <v>70</v>
      </c>
      <c r="G32" s="46">
        <f t="shared" si="0"/>
        <v>2823028.3636363638</v>
      </c>
      <c r="H32" s="418">
        <v>31053312</v>
      </c>
      <c r="I32" s="15">
        <v>5</v>
      </c>
    </row>
    <row r="33" spans="1:9" s="292" customFormat="1" ht="11.25" customHeight="1">
      <c r="A33" s="42" t="s">
        <v>248</v>
      </c>
      <c r="B33" s="42" t="s">
        <v>110</v>
      </c>
      <c r="C33" s="15">
        <v>6</v>
      </c>
      <c r="D33" s="15" t="s">
        <v>286</v>
      </c>
      <c r="E33" s="16">
        <v>1</v>
      </c>
      <c r="F33" s="15" t="s">
        <v>70</v>
      </c>
      <c r="G33" s="46">
        <f t="shared" si="0"/>
        <v>8690117</v>
      </c>
      <c r="H33" s="272">
        <v>8690117</v>
      </c>
      <c r="I33" s="15">
        <v>5</v>
      </c>
    </row>
    <row r="34" spans="1:9" s="292" customFormat="1" ht="14.25" customHeight="1">
      <c r="A34" s="299"/>
      <c r="B34" s="304" t="s">
        <v>183</v>
      </c>
      <c r="C34" s="110"/>
      <c r="D34" s="110"/>
      <c r="E34" s="301"/>
      <c r="F34" s="110"/>
      <c r="G34" s="302"/>
      <c r="H34" s="303">
        <f>SUM(H35:H38)</f>
        <v>667906445</v>
      </c>
      <c r="I34" s="110"/>
    </row>
    <row r="35" spans="1:9" s="292" customFormat="1" ht="15.75" customHeight="1">
      <c r="A35" s="42" t="s">
        <v>249</v>
      </c>
      <c r="B35" s="42" t="s">
        <v>3</v>
      </c>
      <c r="C35" s="15"/>
      <c r="D35" s="15" t="s">
        <v>287</v>
      </c>
      <c r="E35" s="16">
        <v>1</v>
      </c>
      <c r="F35" s="15" t="s">
        <v>70</v>
      </c>
      <c r="G35" s="46">
        <f t="shared" si="0"/>
        <v>288198493</v>
      </c>
      <c r="H35" s="419">
        <v>288198493</v>
      </c>
      <c r="I35" s="15">
        <v>7</v>
      </c>
    </row>
    <row r="36" spans="1:9" s="292" customFormat="1" ht="33.75" customHeight="1">
      <c r="A36" s="42"/>
      <c r="B36" s="256" t="s">
        <v>8</v>
      </c>
      <c r="C36" s="15">
        <v>6</v>
      </c>
      <c r="D36" s="15" t="s">
        <v>287</v>
      </c>
      <c r="E36" s="15">
        <v>1</v>
      </c>
      <c r="F36" s="15" t="s">
        <v>70</v>
      </c>
      <c r="G36" s="46">
        <f t="shared" si="0"/>
        <v>138000000</v>
      </c>
      <c r="H36" s="305">
        <v>138000000</v>
      </c>
      <c r="I36" s="15">
        <v>11</v>
      </c>
    </row>
    <row r="37" spans="1:9" s="292" customFormat="1" ht="63.75" customHeight="1">
      <c r="A37" s="42" t="s">
        <v>252</v>
      </c>
      <c r="B37" s="36" t="s">
        <v>273</v>
      </c>
      <c r="C37" s="15">
        <v>6</v>
      </c>
      <c r="D37" s="15" t="s">
        <v>287</v>
      </c>
      <c r="E37" s="16">
        <v>1</v>
      </c>
      <c r="F37" s="15" t="s">
        <v>48</v>
      </c>
      <c r="G37" s="46">
        <f t="shared" si="0"/>
        <v>217360910</v>
      </c>
      <c r="H37" s="305">
        <v>217360910</v>
      </c>
      <c r="I37" s="266">
        <v>8</v>
      </c>
    </row>
    <row r="38" spans="1:9" s="292" customFormat="1" ht="25.5">
      <c r="A38" s="42" t="s">
        <v>252</v>
      </c>
      <c r="B38" s="36" t="s">
        <v>288</v>
      </c>
      <c r="C38" s="15">
        <v>6</v>
      </c>
      <c r="D38" s="15" t="s">
        <v>287</v>
      </c>
      <c r="E38" s="16">
        <v>1</v>
      </c>
      <c r="F38" s="15" t="s">
        <v>70</v>
      </c>
      <c r="G38" s="46">
        <f t="shared" si="0"/>
        <v>24347042</v>
      </c>
      <c r="H38" s="305">
        <v>24347042</v>
      </c>
      <c r="I38" s="266">
        <v>6</v>
      </c>
    </row>
    <row r="39" spans="1:9" s="292" customFormat="1" ht="12.75">
      <c r="A39" s="293"/>
      <c r="B39" s="122" t="s">
        <v>179</v>
      </c>
      <c r="C39" s="119"/>
      <c r="D39" s="165"/>
      <c r="E39" s="161"/>
      <c r="F39" s="119"/>
      <c r="G39" s="123"/>
      <c r="H39" s="124">
        <f>+H40</f>
        <v>39988892.28</v>
      </c>
      <c r="I39" s="119"/>
    </row>
    <row r="40" spans="1:9" s="292" customFormat="1" ht="12.75">
      <c r="A40" s="299"/>
      <c r="B40" s="306" t="s">
        <v>151</v>
      </c>
      <c r="C40" s="118"/>
      <c r="D40" s="118"/>
      <c r="E40" s="110"/>
      <c r="F40" s="110"/>
      <c r="G40" s="302"/>
      <c r="H40" s="307">
        <f>SUM(H41:H41)</f>
        <v>39988892.28</v>
      </c>
      <c r="I40" s="118"/>
    </row>
    <row r="41" spans="1:9" s="292" customFormat="1" ht="42" customHeight="1">
      <c r="A41" s="42" t="s">
        <v>290</v>
      </c>
      <c r="B41" s="39" t="s">
        <v>289</v>
      </c>
      <c r="C41" s="15">
        <v>6</v>
      </c>
      <c r="D41" s="15" t="s">
        <v>291</v>
      </c>
      <c r="E41" s="15">
        <v>1</v>
      </c>
      <c r="F41" s="15" t="s">
        <v>48</v>
      </c>
      <c r="G41" s="46">
        <f aca="true" t="shared" si="1" ref="G41:G50">H41/E41</f>
        <v>39988892.28</v>
      </c>
      <c r="H41" s="419">
        <v>39988892.28</v>
      </c>
      <c r="I41" s="233">
        <v>10</v>
      </c>
    </row>
    <row r="42" spans="1:9" s="292" customFormat="1" ht="12.75">
      <c r="A42" s="308"/>
      <c r="B42" s="309" t="s">
        <v>98</v>
      </c>
      <c r="C42" s="159"/>
      <c r="D42" s="165"/>
      <c r="E42" s="161"/>
      <c r="F42" s="159"/>
      <c r="G42" s="310"/>
      <c r="H42" s="311">
        <f>SUM(H43:H48)</f>
        <v>339165023</v>
      </c>
      <c r="I42" s="165"/>
    </row>
    <row r="43" spans="1:9" s="292" customFormat="1" ht="39.75" customHeight="1">
      <c r="A43" s="42" t="s">
        <v>249</v>
      </c>
      <c r="B43" s="39" t="s">
        <v>292</v>
      </c>
      <c r="C43" s="15">
        <v>6</v>
      </c>
      <c r="D43" s="15" t="s">
        <v>297</v>
      </c>
      <c r="E43" s="16">
        <v>1</v>
      </c>
      <c r="F43" s="15" t="s">
        <v>48</v>
      </c>
      <c r="G43" s="46">
        <f>H43/E43</f>
        <v>142000000</v>
      </c>
      <c r="H43" s="66">
        <v>142000000</v>
      </c>
      <c r="I43" s="233">
        <v>7</v>
      </c>
    </row>
    <row r="44" spans="1:10" s="292" customFormat="1" ht="39.75" customHeight="1">
      <c r="A44" s="42" t="s">
        <v>249</v>
      </c>
      <c r="B44" s="39" t="s">
        <v>293</v>
      </c>
      <c r="C44" s="15">
        <v>6</v>
      </c>
      <c r="D44" s="15" t="s">
        <v>297</v>
      </c>
      <c r="E44" s="16">
        <v>1</v>
      </c>
      <c r="F44" s="15" t="s">
        <v>48</v>
      </c>
      <c r="G44" s="46">
        <f t="shared" si="1"/>
        <v>12083720</v>
      </c>
      <c r="H44" s="419">
        <v>12083720</v>
      </c>
      <c r="I44" s="233"/>
      <c r="J44" s="387"/>
    </row>
    <row r="45" spans="1:9" s="292" customFormat="1" ht="39.75" customHeight="1">
      <c r="A45" s="42" t="s">
        <v>249</v>
      </c>
      <c r="B45" s="39" t="s">
        <v>294</v>
      </c>
      <c r="C45" s="15">
        <v>6</v>
      </c>
      <c r="D45" s="15" t="s">
        <v>297</v>
      </c>
      <c r="E45" s="16">
        <v>1</v>
      </c>
      <c r="F45" s="15" t="s">
        <v>48</v>
      </c>
      <c r="G45" s="46">
        <f t="shared" si="1"/>
        <v>90000000</v>
      </c>
      <c r="H45" s="66">
        <v>90000000</v>
      </c>
      <c r="I45" s="233"/>
    </row>
    <row r="46" spans="1:10" s="292" customFormat="1" ht="35.25" customHeight="1">
      <c r="A46" s="42" t="s">
        <v>249</v>
      </c>
      <c r="B46" s="39" t="s">
        <v>292</v>
      </c>
      <c r="C46" s="15">
        <v>6</v>
      </c>
      <c r="D46" s="15" t="s">
        <v>297</v>
      </c>
      <c r="E46" s="16">
        <v>1</v>
      </c>
      <c r="F46" s="15" t="s">
        <v>48</v>
      </c>
      <c r="G46" s="46">
        <f t="shared" si="1"/>
        <v>77576903</v>
      </c>
      <c r="H46" s="419">
        <v>77576903</v>
      </c>
      <c r="I46" s="233"/>
      <c r="J46" s="383"/>
    </row>
    <row r="47" spans="1:9" s="292" customFormat="1" ht="35.25" customHeight="1">
      <c r="A47" s="42" t="s">
        <v>249</v>
      </c>
      <c r="B47" s="39" t="s">
        <v>295</v>
      </c>
      <c r="C47" s="15">
        <v>6</v>
      </c>
      <c r="D47" s="15" t="s">
        <v>297</v>
      </c>
      <c r="E47" s="16">
        <v>1</v>
      </c>
      <c r="F47" s="15" t="s">
        <v>48</v>
      </c>
      <c r="G47" s="46">
        <f t="shared" si="1"/>
        <v>15602000</v>
      </c>
      <c r="H47" s="66">
        <f>9000000+6602000</f>
        <v>15602000</v>
      </c>
      <c r="I47" s="233"/>
    </row>
    <row r="48" spans="1:9" s="292" customFormat="1" ht="22.5" customHeight="1">
      <c r="A48" s="42" t="s">
        <v>249</v>
      </c>
      <c r="B48" s="39" t="s">
        <v>296</v>
      </c>
      <c r="C48" s="15">
        <v>6</v>
      </c>
      <c r="D48" s="15" t="s">
        <v>297</v>
      </c>
      <c r="E48" s="16">
        <v>1</v>
      </c>
      <c r="F48" s="15" t="s">
        <v>48</v>
      </c>
      <c r="G48" s="46">
        <f t="shared" si="1"/>
        <v>1902400</v>
      </c>
      <c r="H48" s="419">
        <v>1902400</v>
      </c>
      <c r="I48" s="233"/>
    </row>
    <row r="49" spans="1:9" s="292" customFormat="1" ht="12.75">
      <c r="A49" s="308"/>
      <c r="B49" s="309" t="s">
        <v>206</v>
      </c>
      <c r="C49" s="159"/>
      <c r="D49" s="159"/>
      <c r="E49" s="161"/>
      <c r="F49" s="159"/>
      <c r="G49" s="310"/>
      <c r="H49" s="311">
        <f>SUM(H50:H50)</f>
        <v>30000000</v>
      </c>
      <c r="I49" s="165"/>
    </row>
    <row r="50" spans="1:9" s="292" customFormat="1" ht="25.5">
      <c r="A50" s="42" t="s">
        <v>249</v>
      </c>
      <c r="B50" s="36" t="s">
        <v>7</v>
      </c>
      <c r="C50" s="15">
        <v>6</v>
      </c>
      <c r="D50" s="15" t="s">
        <v>298</v>
      </c>
      <c r="E50" s="15">
        <v>1</v>
      </c>
      <c r="F50" s="15" t="s">
        <v>48</v>
      </c>
      <c r="G50" s="46">
        <f t="shared" si="1"/>
        <v>30000000</v>
      </c>
      <c r="H50" s="66">
        <v>30000000</v>
      </c>
      <c r="I50" s="233">
        <v>6</v>
      </c>
    </row>
    <row r="51" spans="1:9" s="292" customFormat="1" ht="12.75">
      <c r="A51" s="293"/>
      <c r="B51" s="294" t="s">
        <v>59</v>
      </c>
      <c r="C51" s="295"/>
      <c r="D51" s="392"/>
      <c r="E51" s="296"/>
      <c r="F51" s="295"/>
      <c r="G51" s="297"/>
      <c r="H51" s="297">
        <f>+H52+H55+H61+H63</f>
        <v>657053196.8</v>
      </c>
      <c r="I51" s="295"/>
    </row>
    <row r="52" spans="1:9" s="292" customFormat="1" ht="12.75">
      <c r="A52" s="299"/>
      <c r="B52" s="300" t="s">
        <v>72</v>
      </c>
      <c r="C52" s="313"/>
      <c r="D52" s="393"/>
      <c r="E52" s="314"/>
      <c r="F52" s="313"/>
      <c r="G52" s="303"/>
      <c r="H52" s="303">
        <f>+H53+H54</f>
        <v>243254198</v>
      </c>
      <c r="I52" s="313"/>
    </row>
    <row r="53" spans="1:9" s="292" customFormat="1" ht="13.5" customHeight="1">
      <c r="A53" s="42" t="s">
        <v>252</v>
      </c>
      <c r="B53" s="35" t="s">
        <v>166</v>
      </c>
      <c r="C53" s="15">
        <v>6</v>
      </c>
      <c r="D53" s="15" t="s">
        <v>302</v>
      </c>
      <c r="E53" s="74">
        <v>1</v>
      </c>
      <c r="F53" s="15" t="s">
        <v>48</v>
      </c>
      <c r="G53" s="46">
        <f>H53/E53</f>
        <v>182942470</v>
      </c>
      <c r="H53" s="272">
        <v>182942470</v>
      </c>
      <c r="I53" s="266">
        <v>2</v>
      </c>
    </row>
    <row r="54" spans="1:9" s="292" customFormat="1" ht="14.25" customHeight="1">
      <c r="A54" s="42" t="s">
        <v>249</v>
      </c>
      <c r="B54" s="35" t="s">
        <v>50</v>
      </c>
      <c r="C54" s="15">
        <v>6</v>
      </c>
      <c r="D54" s="15" t="s">
        <v>302</v>
      </c>
      <c r="E54" s="74">
        <v>1</v>
      </c>
      <c r="F54" s="15" t="s">
        <v>48</v>
      </c>
      <c r="G54" s="46">
        <f>H54/E54</f>
        <v>60311728</v>
      </c>
      <c r="H54" s="272">
        <v>60311728</v>
      </c>
      <c r="I54" s="266">
        <v>3</v>
      </c>
    </row>
    <row r="55" spans="1:9" s="292" customFormat="1" ht="12.75">
      <c r="A55" s="299"/>
      <c r="B55" s="300" t="s">
        <v>168</v>
      </c>
      <c r="C55" s="110"/>
      <c r="D55" s="393"/>
      <c r="E55" s="314"/>
      <c r="F55" s="313"/>
      <c r="G55" s="303"/>
      <c r="H55" s="303">
        <f>+H56+H58</f>
        <v>374079169.8</v>
      </c>
      <c r="I55" s="313"/>
    </row>
    <row r="56" spans="1:9" s="318" customFormat="1" ht="12.75">
      <c r="A56" s="315"/>
      <c r="B56" s="316" t="s">
        <v>169</v>
      </c>
      <c r="C56" s="273"/>
      <c r="D56" s="394"/>
      <c r="E56" s="317"/>
      <c r="F56" s="273"/>
      <c r="G56" s="274"/>
      <c r="H56" s="274">
        <f>SUM(H57:H57)</f>
        <v>113187807</v>
      </c>
      <c r="I56" s="273"/>
    </row>
    <row r="57" spans="1:9" s="292" customFormat="1" ht="25.5" customHeight="1">
      <c r="A57" s="42" t="s">
        <v>256</v>
      </c>
      <c r="B57" s="35" t="s">
        <v>253</v>
      </c>
      <c r="C57" s="15">
        <v>6</v>
      </c>
      <c r="D57" s="15" t="s">
        <v>299</v>
      </c>
      <c r="E57" s="319" t="s">
        <v>105</v>
      </c>
      <c r="F57" s="15" t="s">
        <v>48</v>
      </c>
      <c r="G57" s="46">
        <f>H57/E57</f>
        <v>113187807</v>
      </c>
      <c r="H57" s="272">
        <v>113187807</v>
      </c>
      <c r="I57" s="233">
        <v>7</v>
      </c>
    </row>
    <row r="58" spans="1:9" s="318" customFormat="1" ht="12.75">
      <c r="A58" s="315"/>
      <c r="B58" s="316" t="s">
        <v>170</v>
      </c>
      <c r="C58" s="15">
        <v>6</v>
      </c>
      <c r="D58" s="15"/>
      <c r="E58" s="317"/>
      <c r="F58" s="273"/>
      <c r="G58" s="30"/>
      <c r="H58" s="274">
        <f>SUM(H59:H60)</f>
        <v>260891362.8</v>
      </c>
      <c r="I58" s="266">
        <v>4</v>
      </c>
    </row>
    <row r="59" spans="1:9" s="292" customFormat="1" ht="63.75">
      <c r="A59" s="42" t="s">
        <v>249</v>
      </c>
      <c r="B59" s="35" t="s">
        <v>259</v>
      </c>
      <c r="C59" s="15">
        <v>6</v>
      </c>
      <c r="D59" s="15" t="s">
        <v>299</v>
      </c>
      <c r="E59" s="16">
        <v>1</v>
      </c>
      <c r="F59" s="15" t="s">
        <v>48</v>
      </c>
      <c r="G59" s="46">
        <f>H59/E59</f>
        <v>138007349.8</v>
      </c>
      <c r="H59" s="272">
        <v>138007349.8</v>
      </c>
      <c r="I59" s="233">
        <v>7</v>
      </c>
    </row>
    <row r="60" spans="1:9" s="292" customFormat="1" ht="25.5">
      <c r="A60" s="42" t="s">
        <v>249</v>
      </c>
      <c r="B60" s="35" t="s">
        <v>300</v>
      </c>
      <c r="C60" s="15">
        <v>6</v>
      </c>
      <c r="D60" s="15" t="s">
        <v>299</v>
      </c>
      <c r="E60" s="16">
        <v>1</v>
      </c>
      <c r="F60" s="15" t="s">
        <v>48</v>
      </c>
      <c r="G60" s="46">
        <f>H60/E60</f>
        <v>122884013</v>
      </c>
      <c r="H60" s="272">
        <v>122884013</v>
      </c>
      <c r="I60" s="233">
        <v>10</v>
      </c>
    </row>
    <row r="61" spans="1:9" s="292" customFormat="1" ht="15" customHeight="1">
      <c r="A61" s="299" t="s">
        <v>249</v>
      </c>
      <c r="B61" s="300" t="s">
        <v>167</v>
      </c>
      <c r="C61" s="313"/>
      <c r="D61" s="110"/>
      <c r="E61" s="314">
        <v>1</v>
      </c>
      <c r="F61" s="313" t="s">
        <v>48</v>
      </c>
      <c r="G61" s="303"/>
      <c r="H61" s="303">
        <f>+H62</f>
        <v>29999829</v>
      </c>
      <c r="I61" s="313"/>
    </row>
    <row r="62" spans="1:9" s="292" customFormat="1" ht="30" customHeight="1">
      <c r="A62" s="42" t="s">
        <v>249</v>
      </c>
      <c r="B62" s="35" t="s">
        <v>303</v>
      </c>
      <c r="C62" s="15">
        <v>6</v>
      </c>
      <c r="D62" s="15" t="s">
        <v>304</v>
      </c>
      <c r="E62" s="16">
        <v>1</v>
      </c>
      <c r="F62" s="15" t="s">
        <v>48</v>
      </c>
      <c r="G62" s="46">
        <f>+H62/E62</f>
        <v>29999829</v>
      </c>
      <c r="H62" s="419">
        <v>29999829</v>
      </c>
      <c r="I62" s="233">
        <v>7</v>
      </c>
    </row>
    <row r="63" spans="1:9" s="292" customFormat="1" ht="15" customHeight="1">
      <c r="A63" s="299"/>
      <c r="B63" s="300" t="s">
        <v>230</v>
      </c>
      <c r="C63" s="313"/>
      <c r="D63" s="393"/>
      <c r="E63" s="314"/>
      <c r="F63" s="313"/>
      <c r="G63" s="303"/>
      <c r="H63" s="303">
        <f>SUM(H64:H64)</f>
        <v>9720000</v>
      </c>
      <c r="I63" s="313"/>
    </row>
    <row r="64" spans="1:9" s="292" customFormat="1" ht="34.5" customHeight="1">
      <c r="A64" s="42" t="s">
        <v>249</v>
      </c>
      <c r="B64" s="320" t="s">
        <v>305</v>
      </c>
      <c r="C64" s="15">
        <v>6</v>
      </c>
      <c r="D64" s="384" t="s">
        <v>306</v>
      </c>
      <c r="E64" s="16">
        <v>1</v>
      </c>
      <c r="F64" s="15" t="s">
        <v>48</v>
      </c>
      <c r="G64" s="46"/>
      <c r="H64" s="272">
        <v>9720000</v>
      </c>
      <c r="I64" s="15">
        <v>7</v>
      </c>
    </row>
    <row r="65" spans="1:9" s="292" customFormat="1" ht="25.5" customHeight="1">
      <c r="A65" s="308"/>
      <c r="B65" s="321" t="s">
        <v>116</v>
      </c>
      <c r="C65" s="322"/>
      <c r="D65" s="395"/>
      <c r="E65" s="323"/>
      <c r="F65" s="322"/>
      <c r="G65" s="324"/>
      <c r="H65" s="324">
        <f>SUM(H66:H70)</f>
        <v>164689363.01999998</v>
      </c>
      <c r="I65" s="322"/>
    </row>
    <row r="66" spans="1:9" s="292" customFormat="1" ht="12.75">
      <c r="A66" s="42" t="s">
        <v>248</v>
      </c>
      <c r="B66" s="35" t="s">
        <v>111</v>
      </c>
      <c r="C66" s="15">
        <v>6</v>
      </c>
      <c r="D66" s="386" t="s">
        <v>307</v>
      </c>
      <c r="E66" s="16">
        <v>1</v>
      </c>
      <c r="F66" s="413" t="s">
        <v>48</v>
      </c>
      <c r="G66" s="46">
        <f>H66/E66</f>
        <v>42902744</v>
      </c>
      <c r="H66" s="272">
        <v>42902744</v>
      </c>
      <c r="I66" s="266">
        <v>5</v>
      </c>
    </row>
    <row r="67" spans="1:9" s="292" customFormat="1" ht="12.75">
      <c r="A67" s="42" t="s">
        <v>248</v>
      </c>
      <c r="B67" s="35" t="s">
        <v>115</v>
      </c>
      <c r="C67" s="15">
        <v>6</v>
      </c>
      <c r="D67" s="386" t="s">
        <v>307</v>
      </c>
      <c r="E67" s="16">
        <v>1</v>
      </c>
      <c r="F67" s="15" t="s">
        <v>48</v>
      </c>
      <c r="G67" s="46">
        <f>H67/E67</f>
        <v>69997600</v>
      </c>
      <c r="H67" s="420">
        <v>69997600</v>
      </c>
      <c r="I67" s="266">
        <v>6</v>
      </c>
    </row>
    <row r="68" spans="1:9" s="292" customFormat="1" ht="12.75">
      <c r="A68" s="42" t="s">
        <v>248</v>
      </c>
      <c r="B68" s="35" t="s">
        <v>112</v>
      </c>
      <c r="C68" s="15">
        <v>6</v>
      </c>
      <c r="D68" s="386" t="s">
        <v>307</v>
      </c>
      <c r="E68" s="16">
        <v>1</v>
      </c>
      <c r="F68" s="15" t="s">
        <v>48</v>
      </c>
      <c r="G68" s="46">
        <f>H68/E68</f>
        <v>11197433.02</v>
      </c>
      <c r="H68" s="420">
        <v>11197433.02</v>
      </c>
      <c r="I68" s="266">
        <v>4</v>
      </c>
    </row>
    <row r="69" spans="1:9" s="292" customFormat="1" ht="15" customHeight="1">
      <c r="A69" s="42" t="s">
        <v>248</v>
      </c>
      <c r="B69" s="35" t="s">
        <v>113</v>
      </c>
      <c r="C69" s="15">
        <v>6</v>
      </c>
      <c r="D69" s="386" t="s">
        <v>307</v>
      </c>
      <c r="E69" s="16">
        <v>1</v>
      </c>
      <c r="F69" s="15" t="s">
        <v>48</v>
      </c>
      <c r="G69" s="46">
        <f>H69/E69</f>
        <v>18846404</v>
      </c>
      <c r="H69" s="420">
        <v>18846404</v>
      </c>
      <c r="I69" s="266">
        <v>5</v>
      </c>
    </row>
    <row r="70" spans="1:9" s="292" customFormat="1" ht="15.75" customHeight="1">
      <c r="A70" s="42" t="s">
        <v>248</v>
      </c>
      <c r="B70" s="320" t="s">
        <v>114</v>
      </c>
      <c r="C70" s="15">
        <v>6</v>
      </c>
      <c r="D70" s="386" t="s">
        <v>307</v>
      </c>
      <c r="E70" s="16">
        <v>1</v>
      </c>
      <c r="F70" s="15" t="s">
        <v>48</v>
      </c>
      <c r="G70" s="46">
        <f>H70/E70</f>
        <v>21745182</v>
      </c>
      <c r="H70" s="420">
        <v>21745182</v>
      </c>
      <c r="I70" s="266">
        <v>6</v>
      </c>
    </row>
    <row r="71" spans="1:9" s="292" customFormat="1" ht="39.75" customHeight="1">
      <c r="A71" s="308"/>
      <c r="B71" s="325" t="s">
        <v>99</v>
      </c>
      <c r="C71" s="159"/>
      <c r="D71" s="396"/>
      <c r="E71" s="161"/>
      <c r="F71" s="159"/>
      <c r="G71" s="310"/>
      <c r="H71" s="324">
        <v>112793875</v>
      </c>
      <c r="I71" s="159">
        <v>6</v>
      </c>
    </row>
    <row r="72" spans="1:9" s="292" customFormat="1" ht="16.5" customHeight="1">
      <c r="A72" s="308"/>
      <c r="B72" s="321" t="s">
        <v>180</v>
      </c>
      <c r="C72" s="159"/>
      <c r="D72" s="322"/>
      <c r="E72" s="161"/>
      <c r="F72" s="159"/>
      <c r="G72" s="310"/>
      <c r="H72" s="324">
        <f>SUM(H73:H75)</f>
        <v>536179792</v>
      </c>
      <c r="I72" s="159">
        <v>2</v>
      </c>
    </row>
    <row r="73" spans="1:9" s="292" customFormat="1" ht="27.75" customHeight="1">
      <c r="A73" s="42" t="s">
        <v>262</v>
      </c>
      <c r="B73" s="35" t="s">
        <v>9</v>
      </c>
      <c r="C73" s="15">
        <v>6</v>
      </c>
      <c r="D73" s="386" t="s">
        <v>308</v>
      </c>
      <c r="E73" s="16">
        <v>1</v>
      </c>
      <c r="F73" s="15" t="s">
        <v>48</v>
      </c>
      <c r="G73" s="46">
        <f>H73/E73</f>
        <v>499978799</v>
      </c>
      <c r="H73" s="419">
        <v>499978799</v>
      </c>
      <c r="I73" s="15">
        <v>6</v>
      </c>
    </row>
    <row r="74" spans="1:9" s="292" customFormat="1" ht="45" customHeight="1">
      <c r="A74" s="42" t="s">
        <v>252</v>
      </c>
      <c r="B74" s="327" t="s">
        <v>254</v>
      </c>
      <c r="C74" s="15">
        <v>6</v>
      </c>
      <c r="D74" s="386" t="s">
        <v>308</v>
      </c>
      <c r="E74" s="74">
        <v>15</v>
      </c>
      <c r="F74" s="15" t="s">
        <v>70</v>
      </c>
      <c r="G74" s="46">
        <f>H74/E74</f>
        <v>2061200</v>
      </c>
      <c r="H74" s="272">
        <v>30918000</v>
      </c>
      <c r="I74" s="15">
        <v>7</v>
      </c>
    </row>
    <row r="75" spans="1:9" s="292" customFormat="1" ht="54.75" customHeight="1">
      <c r="A75" s="42" t="s">
        <v>249</v>
      </c>
      <c r="B75" s="35" t="s">
        <v>301</v>
      </c>
      <c r="C75" s="15">
        <v>6</v>
      </c>
      <c r="D75" s="386" t="s">
        <v>308</v>
      </c>
      <c r="E75" s="74">
        <v>1</v>
      </c>
      <c r="F75" s="15" t="s">
        <v>48</v>
      </c>
      <c r="G75" s="46">
        <f>+H75/E75</f>
        <v>5282993</v>
      </c>
      <c r="H75" s="420">
        <v>5282993</v>
      </c>
      <c r="I75" s="15">
        <v>9</v>
      </c>
    </row>
    <row r="76" spans="1:9" s="292" customFormat="1" ht="12.75">
      <c r="A76" s="328"/>
      <c r="B76" s="329" t="s">
        <v>60</v>
      </c>
      <c r="C76" s="330"/>
      <c r="D76" s="397"/>
      <c r="E76" s="330"/>
      <c r="F76" s="332"/>
      <c r="G76" s="331"/>
      <c r="H76" s="331">
        <f>+H77+H79+H83+H86+H88+H90+H92+H94</f>
        <v>3050307345</v>
      </c>
      <c r="I76" s="332"/>
    </row>
    <row r="77" spans="1:9" s="292" customFormat="1" ht="12.75">
      <c r="A77" s="308"/>
      <c r="B77" s="321" t="s">
        <v>146</v>
      </c>
      <c r="C77" s="322"/>
      <c r="D77" s="395"/>
      <c r="E77" s="161"/>
      <c r="F77" s="159"/>
      <c r="G77" s="310"/>
      <c r="H77" s="324">
        <f>SUM(H78:H78)</f>
        <v>15492512</v>
      </c>
      <c r="I77" s="322"/>
    </row>
    <row r="78" spans="1:9" s="292" customFormat="1" ht="38.25" customHeight="1">
      <c r="A78" s="42" t="s">
        <v>249</v>
      </c>
      <c r="B78" s="35" t="s">
        <v>134</v>
      </c>
      <c r="C78" s="15">
        <v>3</v>
      </c>
      <c r="D78" s="384" t="s">
        <v>309</v>
      </c>
      <c r="E78" s="33">
        <v>1</v>
      </c>
      <c r="F78" s="15" t="s">
        <v>49</v>
      </c>
      <c r="G78" s="46">
        <f aca="true" t="shared" si="2" ref="G78:G93">H78/E78</f>
        <v>15492512</v>
      </c>
      <c r="H78" s="272">
        <v>15492512</v>
      </c>
      <c r="I78" s="33">
        <v>3</v>
      </c>
    </row>
    <row r="79" spans="1:9" s="292" customFormat="1" ht="25.5">
      <c r="A79" s="308"/>
      <c r="B79" s="321" t="s">
        <v>147</v>
      </c>
      <c r="C79" s="322"/>
      <c r="D79" s="395"/>
      <c r="E79" s="161"/>
      <c r="F79" s="159"/>
      <c r="G79" s="310"/>
      <c r="H79" s="324">
        <f>SUM(H80:H82)</f>
        <v>226566660</v>
      </c>
      <c r="I79" s="322"/>
    </row>
    <row r="80" spans="1:9" s="292" customFormat="1" ht="38.25">
      <c r="A80" s="42" t="s">
        <v>249</v>
      </c>
      <c r="B80" s="327" t="s">
        <v>138</v>
      </c>
      <c r="C80" s="15">
        <v>6</v>
      </c>
      <c r="D80" s="386" t="s">
        <v>312</v>
      </c>
      <c r="E80" s="16">
        <v>1</v>
      </c>
      <c r="F80" s="15" t="s">
        <v>48</v>
      </c>
      <c r="G80" s="46">
        <f t="shared" si="2"/>
        <v>181499820</v>
      </c>
      <c r="H80" s="272">
        <f>121000000+34000000+26499820</f>
        <v>181499820</v>
      </c>
      <c r="I80" s="15">
        <v>4</v>
      </c>
    </row>
    <row r="81" spans="1:9" s="292" customFormat="1" ht="12.75">
      <c r="A81" s="42" t="s">
        <v>249</v>
      </c>
      <c r="B81" s="327" t="s">
        <v>310</v>
      </c>
      <c r="C81" s="15">
        <v>6</v>
      </c>
      <c r="D81" s="386" t="s">
        <v>312</v>
      </c>
      <c r="E81" s="16">
        <v>1</v>
      </c>
      <c r="F81" s="15" t="s">
        <v>48</v>
      </c>
      <c r="G81" s="46">
        <f t="shared" si="2"/>
        <v>20066840</v>
      </c>
      <c r="H81" s="419">
        <v>20066840</v>
      </c>
      <c r="I81" s="15">
        <v>7</v>
      </c>
    </row>
    <row r="82" spans="1:9" s="292" customFormat="1" ht="16.5" customHeight="1">
      <c r="A82" s="42" t="s">
        <v>249</v>
      </c>
      <c r="B82" s="35" t="s">
        <v>311</v>
      </c>
      <c r="C82" s="15">
        <v>6</v>
      </c>
      <c r="D82" s="386" t="s">
        <v>312</v>
      </c>
      <c r="E82" s="16">
        <v>1</v>
      </c>
      <c r="F82" s="15" t="s">
        <v>48</v>
      </c>
      <c r="G82" s="46">
        <f t="shared" si="2"/>
        <v>25000000</v>
      </c>
      <c r="H82" s="272">
        <v>25000000</v>
      </c>
      <c r="I82" s="15">
        <v>10</v>
      </c>
    </row>
    <row r="83" spans="1:9" s="292" customFormat="1" ht="25.5">
      <c r="A83" s="308"/>
      <c r="B83" s="321" t="s">
        <v>148</v>
      </c>
      <c r="C83" s="322"/>
      <c r="D83" s="395"/>
      <c r="E83" s="161"/>
      <c r="F83" s="159"/>
      <c r="G83" s="312"/>
      <c r="H83" s="324">
        <f>SUM(H84:H85)</f>
        <v>104900000</v>
      </c>
      <c r="I83" s="322"/>
    </row>
    <row r="84" spans="1:9" s="292" customFormat="1" ht="18.75" customHeight="1">
      <c r="A84" s="42" t="s">
        <v>247</v>
      </c>
      <c r="B84" s="35" t="s">
        <v>94</v>
      </c>
      <c r="C84" s="33">
        <v>3</v>
      </c>
      <c r="D84" s="384" t="s">
        <v>313</v>
      </c>
      <c r="E84" s="15">
        <v>1</v>
      </c>
      <c r="F84" s="15" t="s">
        <v>49</v>
      </c>
      <c r="G84" s="46">
        <f t="shared" si="2"/>
        <v>68500000</v>
      </c>
      <c r="H84" s="272">
        <v>68500000</v>
      </c>
      <c r="I84" s="15">
        <v>6</v>
      </c>
    </row>
    <row r="85" spans="1:9" s="292" customFormat="1" ht="117.75" customHeight="1">
      <c r="A85" s="42" t="s">
        <v>247</v>
      </c>
      <c r="B85" s="32" t="s">
        <v>97</v>
      </c>
      <c r="C85" s="33">
        <v>3</v>
      </c>
      <c r="D85" s="386" t="s">
        <v>313</v>
      </c>
      <c r="E85" s="15">
        <v>12</v>
      </c>
      <c r="F85" s="15" t="s">
        <v>61</v>
      </c>
      <c r="G85" s="46">
        <f t="shared" si="2"/>
        <v>3033333.3333333335</v>
      </c>
      <c r="H85" s="272">
        <v>36400000</v>
      </c>
      <c r="I85" s="15">
        <v>11</v>
      </c>
    </row>
    <row r="86" spans="1:9" s="292" customFormat="1" ht="25.5">
      <c r="A86" s="308"/>
      <c r="B86" s="321" t="s">
        <v>28</v>
      </c>
      <c r="C86" s="322"/>
      <c r="D86" s="395"/>
      <c r="E86" s="161"/>
      <c r="F86" s="159"/>
      <c r="G86" s="310"/>
      <c r="H86" s="324">
        <f>SUM(H87:H87)</f>
        <v>127714992</v>
      </c>
      <c r="I86" s="322"/>
    </row>
    <row r="87" spans="1:9" s="292" customFormat="1" ht="25.5">
      <c r="A87" s="42" t="s">
        <v>314</v>
      </c>
      <c r="B87" s="35" t="s">
        <v>135</v>
      </c>
      <c r="C87" s="33">
        <v>6</v>
      </c>
      <c r="D87" s="384" t="s">
        <v>315</v>
      </c>
      <c r="E87" s="15">
        <v>1</v>
      </c>
      <c r="F87" s="15" t="s">
        <v>48</v>
      </c>
      <c r="G87" s="46">
        <f t="shared" si="2"/>
        <v>127714992</v>
      </c>
      <c r="H87" s="46">
        <v>127714992</v>
      </c>
      <c r="I87" s="33">
        <v>5</v>
      </c>
    </row>
    <row r="88" spans="1:9" s="292" customFormat="1" ht="12.75">
      <c r="A88" s="308"/>
      <c r="B88" s="321" t="s">
        <v>29</v>
      </c>
      <c r="C88" s="159"/>
      <c r="D88" s="161"/>
      <c r="E88" s="161"/>
      <c r="F88" s="159"/>
      <c r="G88" s="333"/>
      <c r="H88" s="324">
        <f>SUM(H89)</f>
        <v>792442729</v>
      </c>
      <c r="I88" s="159"/>
    </row>
    <row r="89" spans="1:9" s="292" customFormat="1" ht="12.75">
      <c r="A89" s="42"/>
      <c r="B89" s="36" t="s">
        <v>36</v>
      </c>
      <c r="C89" s="15">
        <v>3</v>
      </c>
      <c r="D89" s="384" t="s">
        <v>316</v>
      </c>
      <c r="E89" s="44">
        <v>12</v>
      </c>
      <c r="F89" s="15" t="s">
        <v>61</v>
      </c>
      <c r="G89" s="46">
        <f t="shared" si="2"/>
        <v>66036894.083333336</v>
      </c>
      <c r="H89" s="66">
        <v>792442729</v>
      </c>
      <c r="I89" s="15">
        <v>7</v>
      </c>
    </row>
    <row r="90" spans="1:9" s="292" customFormat="1" ht="12.75">
      <c r="A90" s="308"/>
      <c r="B90" s="321" t="s">
        <v>30</v>
      </c>
      <c r="C90" s="159"/>
      <c r="D90" s="161"/>
      <c r="E90" s="161"/>
      <c r="F90" s="159"/>
      <c r="G90" s="333"/>
      <c r="H90" s="324">
        <f>SUM(H91)</f>
        <v>1198839749</v>
      </c>
      <c r="I90" s="159"/>
    </row>
    <row r="91" spans="1:9" s="292" customFormat="1" ht="12.75">
      <c r="A91" s="42"/>
      <c r="B91" s="35" t="s">
        <v>77</v>
      </c>
      <c r="C91" s="15">
        <v>3</v>
      </c>
      <c r="D91" s="384" t="s">
        <v>317</v>
      </c>
      <c r="E91" s="44">
        <v>12</v>
      </c>
      <c r="F91" s="15" t="s">
        <v>61</v>
      </c>
      <c r="G91" s="46">
        <f t="shared" si="2"/>
        <v>99903312.41666667</v>
      </c>
      <c r="H91" s="272">
        <v>1198839749</v>
      </c>
      <c r="I91" s="15">
        <v>7</v>
      </c>
    </row>
    <row r="92" spans="1:9" s="292" customFormat="1" ht="17.25" customHeight="1">
      <c r="A92" s="308"/>
      <c r="B92" s="321" t="s">
        <v>205</v>
      </c>
      <c r="C92" s="322"/>
      <c r="D92" s="395"/>
      <c r="E92" s="161"/>
      <c r="F92" s="159"/>
      <c r="G92" s="334"/>
      <c r="H92" s="324">
        <f>SUM(H93:H93)</f>
        <v>84958400</v>
      </c>
      <c r="I92" s="322"/>
    </row>
    <row r="93" spans="1:9" s="292" customFormat="1" ht="38.25">
      <c r="A93" s="42" t="s">
        <v>248</v>
      </c>
      <c r="B93" s="35" t="s">
        <v>260</v>
      </c>
      <c r="C93" s="15">
        <v>6</v>
      </c>
      <c r="D93" s="384" t="s">
        <v>318</v>
      </c>
      <c r="E93" s="44">
        <v>12</v>
      </c>
      <c r="F93" s="15" t="s">
        <v>61</v>
      </c>
      <c r="G93" s="46">
        <f t="shared" si="2"/>
        <v>7079866.666666667</v>
      </c>
      <c r="H93" s="419">
        <v>84958400</v>
      </c>
      <c r="I93" s="15">
        <v>10</v>
      </c>
    </row>
    <row r="94" spans="1:9" s="292" customFormat="1" ht="12.75">
      <c r="A94" s="308"/>
      <c r="B94" s="321" t="s">
        <v>240</v>
      </c>
      <c r="C94" s="322"/>
      <c r="D94" s="395"/>
      <c r="E94" s="161"/>
      <c r="F94" s="159"/>
      <c r="G94" s="334"/>
      <c r="H94" s="324">
        <f>SUM(H95:H104)</f>
        <v>499392303</v>
      </c>
      <c r="I94" s="322"/>
    </row>
    <row r="95" spans="1:10" s="292" customFormat="1" ht="25.5">
      <c r="A95" s="42" t="s">
        <v>247</v>
      </c>
      <c r="B95" s="32" t="s">
        <v>320</v>
      </c>
      <c r="C95" s="33">
        <v>2</v>
      </c>
      <c r="D95" s="386" t="s">
        <v>319</v>
      </c>
      <c r="E95" s="15">
        <v>1</v>
      </c>
      <c r="F95" s="15" t="s">
        <v>49</v>
      </c>
      <c r="G95" s="272">
        <v>31000000</v>
      </c>
      <c r="H95" s="272">
        <v>103953341</v>
      </c>
      <c r="I95" s="15">
        <v>5</v>
      </c>
      <c r="J95" s="410"/>
    </row>
    <row r="96" spans="1:10" s="292" customFormat="1" ht="25.5">
      <c r="A96" s="42" t="s">
        <v>247</v>
      </c>
      <c r="B96" s="32" t="s">
        <v>321</v>
      </c>
      <c r="C96" s="33">
        <v>2</v>
      </c>
      <c r="D96" s="386" t="s">
        <v>319</v>
      </c>
      <c r="E96" s="15">
        <v>1</v>
      </c>
      <c r="F96" s="15" t="s">
        <v>48</v>
      </c>
      <c r="G96" s="272"/>
      <c r="H96" s="272">
        <v>113067811</v>
      </c>
      <c r="I96" s="41">
        <v>3</v>
      </c>
      <c r="J96" s="410"/>
    </row>
    <row r="97" spans="1:10" s="292" customFormat="1" ht="25.5">
      <c r="A97" s="42" t="s">
        <v>247</v>
      </c>
      <c r="B97" s="32" t="s">
        <v>322</v>
      </c>
      <c r="C97" s="33">
        <v>7</v>
      </c>
      <c r="D97" s="386" t="s">
        <v>319</v>
      </c>
      <c r="E97" s="15">
        <v>1</v>
      </c>
      <c r="F97" s="15" t="s">
        <v>49</v>
      </c>
      <c r="G97" s="272"/>
      <c r="H97" s="272">
        <v>32299951</v>
      </c>
      <c r="I97" s="15">
        <v>8</v>
      </c>
      <c r="J97" s="410"/>
    </row>
    <row r="98" spans="1:10" s="292" customFormat="1" ht="25.5">
      <c r="A98" s="42" t="s">
        <v>247</v>
      </c>
      <c r="B98" s="35" t="s">
        <v>323</v>
      </c>
      <c r="C98" s="33">
        <v>7</v>
      </c>
      <c r="D98" s="386" t="s">
        <v>319</v>
      </c>
      <c r="E98" s="15">
        <v>1</v>
      </c>
      <c r="F98" s="15" t="s">
        <v>49</v>
      </c>
      <c r="G98" s="272"/>
      <c r="H98" s="272">
        <v>12503328</v>
      </c>
      <c r="I98" s="41">
        <v>7</v>
      </c>
      <c r="J98" s="410"/>
    </row>
    <row r="99" spans="1:10" s="292" customFormat="1" ht="25.5">
      <c r="A99" s="42" t="s">
        <v>247</v>
      </c>
      <c r="B99" s="35" t="s">
        <v>324</v>
      </c>
      <c r="C99" s="33">
        <v>7</v>
      </c>
      <c r="D99" s="386" t="s">
        <v>319</v>
      </c>
      <c r="E99" s="15">
        <v>1</v>
      </c>
      <c r="F99" s="15" t="s">
        <v>70</v>
      </c>
      <c r="G99" s="272"/>
      <c r="H99" s="272">
        <v>56998195</v>
      </c>
      <c r="I99" s="15">
        <v>7</v>
      </c>
      <c r="J99" s="410"/>
    </row>
    <row r="100" spans="1:10" s="292" customFormat="1" ht="12.75">
      <c r="A100" s="42" t="s">
        <v>247</v>
      </c>
      <c r="B100" s="35" t="s">
        <v>325</v>
      </c>
      <c r="C100" s="33">
        <v>7</v>
      </c>
      <c r="D100" s="386" t="s">
        <v>319</v>
      </c>
      <c r="E100" s="15">
        <v>1</v>
      </c>
      <c r="F100" s="15" t="s">
        <v>49</v>
      </c>
      <c r="G100" s="272"/>
      <c r="H100" s="272">
        <v>36000000</v>
      </c>
      <c r="I100" s="15">
        <v>7</v>
      </c>
      <c r="J100" s="410"/>
    </row>
    <row r="101" spans="1:10" s="292" customFormat="1" ht="25.5">
      <c r="A101" s="42" t="s">
        <v>247</v>
      </c>
      <c r="B101" s="35" t="s">
        <v>326</v>
      </c>
      <c r="C101" s="33">
        <v>2</v>
      </c>
      <c r="D101" s="386" t="s">
        <v>319</v>
      </c>
      <c r="E101" s="15">
        <v>1</v>
      </c>
      <c r="F101" s="15" t="s">
        <v>49</v>
      </c>
      <c r="G101" s="272"/>
      <c r="H101" s="272">
        <v>34726363</v>
      </c>
      <c r="I101" s="15">
        <v>5</v>
      </c>
      <c r="J101" s="410"/>
    </row>
    <row r="102" spans="1:10" s="292" customFormat="1" ht="12.75">
      <c r="A102" s="42" t="s">
        <v>247</v>
      </c>
      <c r="B102" s="35" t="s">
        <v>327</v>
      </c>
      <c r="C102" s="33">
        <v>8</v>
      </c>
      <c r="D102" s="386" t="s">
        <v>319</v>
      </c>
      <c r="E102" s="15">
        <v>1</v>
      </c>
      <c r="F102" s="15" t="s">
        <v>49</v>
      </c>
      <c r="G102" s="272"/>
      <c r="H102" s="272">
        <v>16250394</v>
      </c>
      <c r="I102" s="41">
        <v>10</v>
      </c>
      <c r="J102" s="410"/>
    </row>
    <row r="103" spans="1:10" s="292" customFormat="1" ht="25.5">
      <c r="A103" s="42" t="s">
        <v>247</v>
      </c>
      <c r="B103" s="35" t="s">
        <v>328</v>
      </c>
      <c r="C103" s="33">
        <v>7</v>
      </c>
      <c r="D103" s="386" t="s">
        <v>319</v>
      </c>
      <c r="E103" s="15">
        <v>1</v>
      </c>
      <c r="F103" s="15" t="s">
        <v>49</v>
      </c>
      <c r="G103" s="272"/>
      <c r="H103" s="272">
        <v>3600000</v>
      </c>
      <c r="I103" s="15">
        <v>7</v>
      </c>
      <c r="J103" s="410"/>
    </row>
    <row r="104" spans="1:10" s="292" customFormat="1" ht="25.5">
      <c r="A104" s="42" t="s">
        <v>247</v>
      </c>
      <c r="B104" s="35" t="s">
        <v>329</v>
      </c>
      <c r="C104" s="33">
        <v>7</v>
      </c>
      <c r="D104" s="386" t="s">
        <v>319</v>
      </c>
      <c r="E104" s="15">
        <v>1</v>
      </c>
      <c r="F104" s="15" t="s">
        <v>48</v>
      </c>
      <c r="G104" s="272"/>
      <c r="H104" s="272">
        <v>89992920</v>
      </c>
      <c r="I104" s="15">
        <v>12</v>
      </c>
      <c r="J104" s="410"/>
    </row>
    <row r="105" spans="1:10" s="404" customFormat="1" ht="12.75">
      <c r="A105" s="336"/>
      <c r="B105" s="337" t="s">
        <v>62</v>
      </c>
      <c r="C105" s="338"/>
      <c r="D105" s="398"/>
      <c r="E105" s="339"/>
      <c r="F105" s="338"/>
      <c r="G105" s="340"/>
      <c r="H105" s="341">
        <f>+H106+H108+H110+H116+H119+H120+H122+H125</f>
        <v>890480198.94</v>
      </c>
      <c r="I105" s="338"/>
      <c r="J105" s="403"/>
    </row>
    <row r="106" spans="1:10" s="335" customFormat="1" ht="12.75">
      <c r="A106" s="342"/>
      <c r="B106" s="321" t="s">
        <v>31</v>
      </c>
      <c r="C106" s="165"/>
      <c r="D106" s="399"/>
      <c r="E106" s="343"/>
      <c r="F106" s="165"/>
      <c r="G106" s="344"/>
      <c r="H106" s="324">
        <f>SUM(H107)</f>
        <v>93000000</v>
      </c>
      <c r="I106" s="165"/>
      <c r="J106" s="385"/>
    </row>
    <row r="107" spans="1:10" s="335" customFormat="1" ht="34.5" customHeight="1">
      <c r="A107" s="35" t="s">
        <v>264</v>
      </c>
      <c r="B107" s="35" t="s">
        <v>137</v>
      </c>
      <c r="C107" s="33">
        <v>3</v>
      </c>
      <c r="D107" s="384" t="s">
        <v>330</v>
      </c>
      <c r="E107" s="44">
        <v>12</v>
      </c>
      <c r="F107" s="33" t="s">
        <v>61</v>
      </c>
      <c r="G107" s="46">
        <f>H107/E107</f>
        <v>7750000</v>
      </c>
      <c r="H107" s="272">
        <v>93000000</v>
      </c>
      <c r="I107" s="33">
        <v>6</v>
      </c>
      <c r="J107" s="385"/>
    </row>
    <row r="108" spans="1:9" s="335" customFormat="1" ht="26.25" customHeight="1">
      <c r="A108" s="342"/>
      <c r="B108" s="321" t="s">
        <v>53</v>
      </c>
      <c r="C108" s="165"/>
      <c r="D108" s="400"/>
      <c r="E108" s="343"/>
      <c r="F108" s="165"/>
      <c r="G108" s="345"/>
      <c r="H108" s="324">
        <f>SUM(H109:H109)</f>
        <v>38000000</v>
      </c>
      <c r="I108" s="165"/>
    </row>
    <row r="109" spans="1:9" s="335" customFormat="1" ht="30" customHeight="1">
      <c r="A109" s="35" t="s">
        <v>263</v>
      </c>
      <c r="B109" s="271" t="s">
        <v>333</v>
      </c>
      <c r="C109" s="33">
        <v>3</v>
      </c>
      <c r="D109" s="384" t="s">
        <v>331</v>
      </c>
      <c r="E109" s="44">
        <v>10</v>
      </c>
      <c r="F109" s="33" t="s">
        <v>61</v>
      </c>
      <c r="G109" s="46">
        <f>H109/E109</f>
        <v>3800000</v>
      </c>
      <c r="H109" s="272">
        <v>38000000</v>
      </c>
      <c r="I109" s="33">
        <v>6</v>
      </c>
    </row>
    <row r="110" spans="1:9" s="335" customFormat="1" ht="12.75">
      <c r="A110" s="342"/>
      <c r="B110" s="321" t="s">
        <v>32</v>
      </c>
      <c r="C110" s="346"/>
      <c r="D110" s="401"/>
      <c r="E110" s="343"/>
      <c r="F110" s="165"/>
      <c r="G110" s="347"/>
      <c r="H110" s="324">
        <f>SUM(H111:H115)</f>
        <v>233014939.94</v>
      </c>
      <c r="I110" s="165"/>
    </row>
    <row r="111" spans="1:9" s="292" customFormat="1" ht="25.5" customHeight="1">
      <c r="A111" s="42" t="s">
        <v>247</v>
      </c>
      <c r="B111" s="32" t="s">
        <v>265</v>
      </c>
      <c r="C111" s="33">
        <v>3</v>
      </c>
      <c r="D111" s="386" t="s">
        <v>332</v>
      </c>
      <c r="E111" s="15">
        <v>12</v>
      </c>
      <c r="F111" s="33" t="s">
        <v>61</v>
      </c>
      <c r="G111" s="46">
        <f>H111/E111</f>
        <v>4543965.666666667</v>
      </c>
      <c r="H111" s="272">
        <v>54527588</v>
      </c>
      <c r="I111" s="15">
        <v>1</v>
      </c>
    </row>
    <row r="112" spans="1:9" s="292" customFormat="1" ht="25.5" customHeight="1">
      <c r="A112" s="42" t="s">
        <v>247</v>
      </c>
      <c r="B112" s="32" t="s">
        <v>266</v>
      </c>
      <c r="C112" s="33">
        <v>6</v>
      </c>
      <c r="D112" s="386" t="s">
        <v>332</v>
      </c>
      <c r="E112" s="15">
        <v>9</v>
      </c>
      <c r="F112" s="33" t="s">
        <v>61</v>
      </c>
      <c r="G112" s="46">
        <f>H112/E112</f>
        <v>2891623</v>
      </c>
      <c r="H112" s="272">
        <v>26024607</v>
      </c>
      <c r="I112" s="15">
        <v>3</v>
      </c>
    </row>
    <row r="113" spans="1:9" s="292" customFormat="1" ht="25.5" customHeight="1">
      <c r="A113" s="42" t="s">
        <v>247</v>
      </c>
      <c r="B113" s="32" t="s">
        <v>267</v>
      </c>
      <c r="C113" s="33">
        <v>7</v>
      </c>
      <c r="D113" s="386" t="s">
        <v>332</v>
      </c>
      <c r="E113" s="15">
        <v>1</v>
      </c>
      <c r="F113" s="15" t="s">
        <v>70</v>
      </c>
      <c r="G113" s="46">
        <f>+H113/E113</f>
        <v>51407792</v>
      </c>
      <c r="H113" s="46">
        <v>51407792</v>
      </c>
      <c r="I113" s="15">
        <v>9</v>
      </c>
    </row>
    <row r="114" spans="1:9" s="292" customFormat="1" ht="25.5" customHeight="1">
      <c r="A114" s="42" t="s">
        <v>252</v>
      </c>
      <c r="B114" s="32" t="s">
        <v>164</v>
      </c>
      <c r="C114" s="33">
        <v>3</v>
      </c>
      <c r="D114" s="386" t="s">
        <v>332</v>
      </c>
      <c r="E114" s="15">
        <v>1</v>
      </c>
      <c r="F114" s="15" t="s">
        <v>49</v>
      </c>
      <c r="G114" s="46">
        <f>H114/E114</f>
        <v>49328568.519999996</v>
      </c>
      <c r="H114" s="272">
        <v>49328568.519999996</v>
      </c>
      <c r="I114" s="15">
        <v>2</v>
      </c>
    </row>
    <row r="115" spans="1:9" s="335" customFormat="1" ht="12.75">
      <c r="A115" s="35" t="s">
        <v>249</v>
      </c>
      <c r="B115" s="35" t="s">
        <v>268</v>
      </c>
      <c r="C115" s="33">
        <v>3</v>
      </c>
      <c r="D115" s="386" t="s">
        <v>332</v>
      </c>
      <c r="E115" s="44">
        <v>12</v>
      </c>
      <c r="F115" s="33" t="s">
        <v>61</v>
      </c>
      <c r="G115" s="46">
        <f>H115/E115</f>
        <v>4310532.035</v>
      </c>
      <c r="H115" s="272">
        <v>51726384.42</v>
      </c>
      <c r="I115" s="33">
        <v>2</v>
      </c>
    </row>
    <row r="116" spans="1:9" s="405" customFormat="1" ht="12.75">
      <c r="A116" s="321"/>
      <c r="B116" s="321" t="s">
        <v>227</v>
      </c>
      <c r="C116" s="346"/>
      <c r="D116" s="346"/>
      <c r="E116" s="348"/>
      <c r="F116" s="414"/>
      <c r="G116" s="349"/>
      <c r="H116" s="324">
        <f>SUM(H117)</f>
        <v>252842135</v>
      </c>
      <c r="I116" s="346"/>
    </row>
    <row r="117" spans="1:9" s="335" customFormat="1" ht="25.5">
      <c r="A117" s="35" t="s">
        <v>252</v>
      </c>
      <c r="B117" s="35" t="s">
        <v>144</v>
      </c>
      <c r="C117" s="33">
        <v>3</v>
      </c>
      <c r="D117" s="384" t="s">
        <v>340</v>
      </c>
      <c r="E117" s="44">
        <v>10</v>
      </c>
      <c r="F117" s="415" t="s">
        <v>61</v>
      </c>
      <c r="G117" s="46">
        <f>H117/E117</f>
        <v>25284213.5</v>
      </c>
      <c r="H117" s="421">
        <v>252842135</v>
      </c>
      <c r="I117" s="33">
        <v>2</v>
      </c>
    </row>
    <row r="118" spans="1:9" s="335" customFormat="1" ht="12.75">
      <c r="A118" s="342"/>
      <c r="B118" s="321" t="s">
        <v>33</v>
      </c>
      <c r="C118" s="346"/>
      <c r="D118" s="401"/>
      <c r="E118" s="343"/>
      <c r="F118" s="165"/>
      <c r="G118" s="347"/>
      <c r="H118" s="324"/>
      <c r="I118" s="165"/>
    </row>
    <row r="119" spans="1:9" s="335" customFormat="1" ht="12.75">
      <c r="A119" s="342"/>
      <c r="B119" s="321" t="s">
        <v>63</v>
      </c>
      <c r="C119" s="346"/>
      <c r="D119" s="401"/>
      <c r="E119" s="343"/>
      <c r="F119" s="165"/>
      <c r="G119" s="347"/>
      <c r="H119" s="324">
        <f>+H120+H122+H125</f>
        <v>136811562</v>
      </c>
      <c r="I119" s="165"/>
    </row>
    <row r="120" spans="1:9" s="335" customFormat="1" ht="12.75">
      <c r="A120" s="342"/>
      <c r="B120" s="321" t="s">
        <v>341</v>
      </c>
      <c r="C120" s="346"/>
      <c r="D120" s="401"/>
      <c r="E120" s="343"/>
      <c r="F120" s="165"/>
      <c r="G120" s="347"/>
      <c r="H120" s="324">
        <f>+H121</f>
        <v>9750000</v>
      </c>
      <c r="I120" s="165"/>
    </row>
    <row r="121" spans="1:9" s="335" customFormat="1" ht="38.25">
      <c r="A121" s="35" t="s">
        <v>269</v>
      </c>
      <c r="B121" s="35" t="s">
        <v>342</v>
      </c>
      <c r="C121" s="33">
        <v>3</v>
      </c>
      <c r="D121" s="384" t="s">
        <v>343</v>
      </c>
      <c r="E121" s="44">
        <v>1</v>
      </c>
      <c r="F121" s="33" t="s">
        <v>48</v>
      </c>
      <c r="G121" s="46">
        <f>+H121/E121</f>
        <v>9750000</v>
      </c>
      <c r="H121" s="272">
        <v>9750000</v>
      </c>
      <c r="I121" s="33">
        <v>8</v>
      </c>
    </row>
    <row r="122" spans="1:9" s="335" customFormat="1" ht="12.75">
      <c r="A122" s="342"/>
      <c r="B122" s="321" t="s">
        <v>346</v>
      </c>
      <c r="C122" s="346"/>
      <c r="D122" s="401"/>
      <c r="E122" s="343"/>
      <c r="F122" s="165"/>
      <c r="G122" s="347"/>
      <c r="H122" s="324">
        <f>+H123+H124</f>
        <v>2684000</v>
      </c>
      <c r="I122" s="165"/>
    </row>
    <row r="123" spans="1:9" s="335" customFormat="1" ht="25.5">
      <c r="A123" s="35" t="s">
        <v>249</v>
      </c>
      <c r="B123" s="35" t="s">
        <v>345</v>
      </c>
      <c r="C123" s="33">
        <v>3</v>
      </c>
      <c r="D123" s="384" t="s">
        <v>343</v>
      </c>
      <c r="E123" s="44">
        <v>1</v>
      </c>
      <c r="F123" s="33" t="s">
        <v>48</v>
      </c>
      <c r="G123" s="46">
        <f>+H123/E123</f>
        <v>684000</v>
      </c>
      <c r="H123" s="272">
        <f>399000+285000</f>
        <v>684000</v>
      </c>
      <c r="I123" s="33">
        <v>2</v>
      </c>
    </row>
    <row r="124" spans="1:9" s="335" customFormat="1" ht="25.5">
      <c r="A124" s="35" t="s">
        <v>339</v>
      </c>
      <c r="B124" s="35" t="s">
        <v>344</v>
      </c>
      <c r="C124" s="33"/>
      <c r="D124" s="384" t="s">
        <v>343</v>
      </c>
      <c r="E124" s="44">
        <v>1</v>
      </c>
      <c r="F124" s="33" t="s">
        <v>48</v>
      </c>
      <c r="G124" s="46">
        <f>+H124/E124</f>
        <v>2000000</v>
      </c>
      <c r="H124" s="272">
        <v>2000000</v>
      </c>
      <c r="I124" s="33">
        <v>4</v>
      </c>
    </row>
    <row r="125" spans="1:9" s="335" customFormat="1" ht="31.5" customHeight="1">
      <c r="A125" s="342"/>
      <c r="B125" s="321" t="s">
        <v>149</v>
      </c>
      <c r="C125" s="346"/>
      <c r="D125" s="346"/>
      <c r="E125" s="343"/>
      <c r="F125" s="165"/>
      <c r="G125" s="349"/>
      <c r="H125" s="324">
        <f>SUM(H126:H129)</f>
        <v>124377562</v>
      </c>
      <c r="I125" s="346"/>
    </row>
    <row r="126" spans="1:9" s="351" customFormat="1" ht="12.75" customHeight="1">
      <c r="A126" s="35" t="s">
        <v>252</v>
      </c>
      <c r="B126" s="35" t="s">
        <v>338</v>
      </c>
      <c r="C126" s="33">
        <v>3</v>
      </c>
      <c r="D126" s="386" t="s">
        <v>334</v>
      </c>
      <c r="E126" s="44">
        <v>1</v>
      </c>
      <c r="F126" s="33" t="s">
        <v>48</v>
      </c>
      <c r="G126" s="46">
        <f>H126/E126</f>
        <v>65000000</v>
      </c>
      <c r="H126" s="272">
        <v>65000000</v>
      </c>
      <c r="I126" s="33">
        <v>2</v>
      </c>
    </row>
    <row r="127" spans="1:9" s="351" customFormat="1" ht="37.5" customHeight="1">
      <c r="A127" s="35" t="s">
        <v>269</v>
      </c>
      <c r="B127" s="35" t="s">
        <v>337</v>
      </c>
      <c r="C127" s="33">
        <v>3</v>
      </c>
      <c r="D127" s="386" t="s">
        <v>334</v>
      </c>
      <c r="E127" s="44">
        <v>1</v>
      </c>
      <c r="F127" s="33" t="s">
        <v>48</v>
      </c>
      <c r="G127" s="46">
        <f>H127/E127</f>
        <v>57176762</v>
      </c>
      <c r="H127" s="272">
        <v>57176762</v>
      </c>
      <c r="I127" s="33">
        <v>2</v>
      </c>
    </row>
    <row r="128" spans="1:9" s="351" customFormat="1" ht="20.25" customHeight="1">
      <c r="A128" s="35" t="s">
        <v>339</v>
      </c>
      <c r="B128" s="35" t="s">
        <v>335</v>
      </c>
      <c r="C128" s="33">
        <v>3</v>
      </c>
      <c r="D128" s="386" t="s">
        <v>334</v>
      </c>
      <c r="E128" s="44">
        <v>1</v>
      </c>
      <c r="F128" s="33" t="s">
        <v>48</v>
      </c>
      <c r="G128" s="46">
        <f>H128/E128</f>
        <v>1600800</v>
      </c>
      <c r="H128" s="272">
        <v>1600800</v>
      </c>
      <c r="I128" s="33">
        <v>4</v>
      </c>
    </row>
    <row r="129" spans="1:9" s="351" customFormat="1" ht="25.5" customHeight="1">
      <c r="A129" s="35" t="s">
        <v>249</v>
      </c>
      <c r="B129" s="35" t="s">
        <v>336</v>
      </c>
      <c r="C129" s="33">
        <v>3</v>
      </c>
      <c r="D129" s="386" t="s">
        <v>334</v>
      </c>
      <c r="E129" s="44">
        <v>1</v>
      </c>
      <c r="F129" s="33" t="s">
        <v>48</v>
      </c>
      <c r="G129" s="46">
        <v>600000</v>
      </c>
      <c r="H129" s="272">
        <v>600000</v>
      </c>
      <c r="I129" s="33">
        <v>4</v>
      </c>
    </row>
    <row r="130" spans="1:9" s="292" customFormat="1" ht="12.75">
      <c r="A130" s="328"/>
      <c r="B130" s="329" t="s">
        <v>210</v>
      </c>
      <c r="C130" s="332"/>
      <c r="D130" s="397"/>
      <c r="E130" s="330"/>
      <c r="F130" s="332"/>
      <c r="G130" s="331"/>
      <c r="H130" s="331">
        <v>477308705.82000005</v>
      </c>
      <c r="I130" s="332"/>
    </row>
    <row r="131" spans="1:9" s="292" customFormat="1" ht="12.75">
      <c r="A131" s="328"/>
      <c r="B131" s="329" t="s">
        <v>64</v>
      </c>
      <c r="C131" s="332"/>
      <c r="D131" s="397"/>
      <c r="E131" s="352"/>
      <c r="F131" s="354"/>
      <c r="G131" s="353"/>
      <c r="H131" s="331">
        <f>SUM(H132)</f>
        <v>63573500</v>
      </c>
      <c r="I131" s="354"/>
    </row>
    <row r="132" spans="1:9" s="292" customFormat="1" ht="12.75">
      <c r="A132" s="42" t="s">
        <v>249</v>
      </c>
      <c r="B132" s="35" t="s">
        <v>160</v>
      </c>
      <c r="C132" s="15">
        <v>7</v>
      </c>
      <c r="D132" s="391" t="s">
        <v>197</v>
      </c>
      <c r="E132" s="44">
        <v>12</v>
      </c>
      <c r="F132" s="15" t="s">
        <v>61</v>
      </c>
      <c r="G132" s="46">
        <f>H132/E132</f>
        <v>5297791.666666667</v>
      </c>
      <c r="H132" s="46">
        <v>63573500</v>
      </c>
      <c r="I132" s="15">
        <v>4</v>
      </c>
    </row>
    <row r="133" spans="1:9" s="292" customFormat="1" ht="15.75" customHeight="1">
      <c r="A133" s="328"/>
      <c r="B133" s="329" t="s">
        <v>65</v>
      </c>
      <c r="C133" s="332"/>
      <c r="D133" s="397"/>
      <c r="E133" s="352"/>
      <c r="F133" s="354"/>
      <c r="G133" s="353"/>
      <c r="H133" s="331">
        <f>H134+H143</f>
        <v>317776283</v>
      </c>
      <c r="I133" s="354"/>
    </row>
    <row r="134" spans="1:9" s="292" customFormat="1" ht="17.25" customHeight="1">
      <c r="A134" s="308"/>
      <c r="B134" s="321" t="s">
        <v>228</v>
      </c>
      <c r="C134" s="322"/>
      <c r="D134" s="395"/>
      <c r="E134" s="161"/>
      <c r="F134" s="159"/>
      <c r="G134" s="310"/>
      <c r="H134" s="324">
        <f>SUM(H135:H142)</f>
        <v>215599934</v>
      </c>
      <c r="I134" s="159"/>
    </row>
    <row r="135" spans="1:9" s="292" customFormat="1" ht="38.25">
      <c r="A135" s="42" t="s">
        <v>248</v>
      </c>
      <c r="B135" s="35" t="s">
        <v>154</v>
      </c>
      <c r="C135" s="15">
        <v>3</v>
      </c>
      <c r="D135" s="386" t="s">
        <v>348</v>
      </c>
      <c r="E135" s="44">
        <v>1</v>
      </c>
      <c r="F135" s="388" t="s">
        <v>49</v>
      </c>
      <c r="G135" s="46">
        <f aca="true" t="shared" si="3" ref="G135:G144">H135/E135</f>
        <v>2435244</v>
      </c>
      <c r="H135" s="420">
        <v>2435244</v>
      </c>
      <c r="I135" s="355">
        <v>1</v>
      </c>
    </row>
    <row r="136" spans="1:9" s="292" customFormat="1" ht="51">
      <c r="A136" s="42" t="s">
        <v>249</v>
      </c>
      <c r="B136" s="35" t="s">
        <v>155</v>
      </c>
      <c r="C136" s="15">
        <v>3</v>
      </c>
      <c r="D136" s="386" t="s">
        <v>348</v>
      </c>
      <c r="E136" s="44">
        <v>9</v>
      </c>
      <c r="F136" s="388" t="s">
        <v>61</v>
      </c>
      <c r="G136" s="46">
        <f t="shared" si="3"/>
        <v>4114759.777777778</v>
      </c>
      <c r="H136" s="420">
        <f>36846749+186089</f>
        <v>37032838</v>
      </c>
      <c r="I136" s="355">
        <v>1</v>
      </c>
    </row>
    <row r="137" spans="1:9" s="292" customFormat="1" ht="12.75">
      <c r="A137" s="42" t="s">
        <v>249</v>
      </c>
      <c r="B137" s="35" t="s">
        <v>165</v>
      </c>
      <c r="C137" s="15">
        <v>3</v>
      </c>
      <c r="D137" s="386" t="s">
        <v>348</v>
      </c>
      <c r="E137" s="44">
        <v>9</v>
      </c>
      <c r="F137" s="388" t="s">
        <v>61</v>
      </c>
      <c r="G137" s="46">
        <f t="shared" si="3"/>
        <v>1721503</v>
      </c>
      <c r="H137" s="420">
        <v>15493527</v>
      </c>
      <c r="I137" s="355">
        <v>1</v>
      </c>
    </row>
    <row r="138" spans="1:9" s="292" customFormat="1" ht="25.5">
      <c r="A138" s="42" t="s">
        <v>249</v>
      </c>
      <c r="B138" s="35" t="s">
        <v>101</v>
      </c>
      <c r="C138" s="15"/>
      <c r="D138" s="386" t="s">
        <v>348</v>
      </c>
      <c r="E138" s="44">
        <v>9</v>
      </c>
      <c r="F138" s="388" t="s">
        <v>61</v>
      </c>
      <c r="G138" s="46">
        <f>H138/E138</f>
        <v>1419283.3333333333</v>
      </c>
      <c r="H138" s="420">
        <v>12773550</v>
      </c>
      <c r="I138" s="355">
        <v>1</v>
      </c>
    </row>
    <row r="139" spans="1:9" s="292" customFormat="1" ht="38.25">
      <c r="A139" s="42" t="s">
        <v>249</v>
      </c>
      <c r="B139" s="35" t="s">
        <v>156</v>
      </c>
      <c r="C139" s="15">
        <v>3</v>
      </c>
      <c r="D139" s="386" t="s">
        <v>348</v>
      </c>
      <c r="E139" s="44">
        <v>9</v>
      </c>
      <c r="F139" s="388" t="s">
        <v>61</v>
      </c>
      <c r="G139" s="46">
        <f t="shared" si="3"/>
        <v>199697</v>
      </c>
      <c r="H139" s="420">
        <v>1797273</v>
      </c>
      <c r="I139" s="355">
        <v>1</v>
      </c>
    </row>
    <row r="140" spans="1:9" s="292" customFormat="1" ht="38.25">
      <c r="A140" s="42" t="s">
        <v>249</v>
      </c>
      <c r="B140" s="35" t="s">
        <v>158</v>
      </c>
      <c r="C140" s="15">
        <v>3</v>
      </c>
      <c r="D140" s="386" t="s">
        <v>348</v>
      </c>
      <c r="E140" s="44">
        <v>9</v>
      </c>
      <c r="F140" s="388" t="s">
        <v>61</v>
      </c>
      <c r="G140" s="46">
        <f t="shared" si="3"/>
        <v>233804.33333333334</v>
      </c>
      <c r="H140" s="420">
        <v>2104239</v>
      </c>
      <c r="I140" s="355">
        <v>1</v>
      </c>
    </row>
    <row r="141" spans="1:9" s="292" customFormat="1" ht="38.25">
      <c r="A141" s="42" t="s">
        <v>249</v>
      </c>
      <c r="B141" s="35" t="s">
        <v>157</v>
      </c>
      <c r="C141" s="15">
        <v>3</v>
      </c>
      <c r="D141" s="386" t="s">
        <v>348</v>
      </c>
      <c r="E141" s="44">
        <v>9</v>
      </c>
      <c r="F141" s="388" t="s">
        <v>61</v>
      </c>
      <c r="G141" s="46">
        <f t="shared" si="3"/>
        <v>115762.66666666667</v>
      </c>
      <c r="H141" s="420">
        <v>1041864</v>
      </c>
      <c r="I141" s="355">
        <v>1</v>
      </c>
    </row>
    <row r="142" spans="1:9" s="292" customFormat="1" ht="35.25" customHeight="1">
      <c r="A142" s="42" t="s">
        <v>249</v>
      </c>
      <c r="B142" s="35" t="s">
        <v>347</v>
      </c>
      <c r="C142" s="15">
        <v>3</v>
      </c>
      <c r="D142" s="386" t="s">
        <v>348</v>
      </c>
      <c r="E142" s="44">
        <v>1</v>
      </c>
      <c r="F142" s="388" t="s">
        <v>48</v>
      </c>
      <c r="G142" s="46">
        <f t="shared" si="3"/>
        <v>142921399</v>
      </c>
      <c r="H142" s="272">
        <v>142921399</v>
      </c>
      <c r="I142" s="355">
        <v>8</v>
      </c>
    </row>
    <row r="143" spans="1:9" s="292" customFormat="1" ht="17.25" customHeight="1">
      <c r="A143" s="308"/>
      <c r="B143" s="321" t="s">
        <v>181</v>
      </c>
      <c r="C143" s="322"/>
      <c r="D143" s="395"/>
      <c r="E143" s="161"/>
      <c r="F143" s="159"/>
      <c r="G143" s="310"/>
      <c r="H143" s="324">
        <f>SUM(H144:H144)</f>
        <v>102176349</v>
      </c>
      <c r="I143" s="159"/>
    </row>
    <row r="144" spans="1:9" s="292" customFormat="1" ht="25.5" customHeight="1">
      <c r="A144" s="42" t="s">
        <v>247</v>
      </c>
      <c r="B144" s="32" t="s">
        <v>349</v>
      </c>
      <c r="C144" s="33">
        <v>6</v>
      </c>
      <c r="D144" s="384" t="s">
        <v>350</v>
      </c>
      <c r="E144" s="15">
        <v>1</v>
      </c>
      <c r="F144" s="15" t="s">
        <v>49</v>
      </c>
      <c r="G144" s="46">
        <f t="shared" si="3"/>
        <v>102176349</v>
      </c>
      <c r="H144" s="272">
        <v>102176349</v>
      </c>
      <c r="I144" s="15">
        <v>8</v>
      </c>
    </row>
    <row r="145" spans="1:9" s="292" customFormat="1" ht="12.75">
      <c r="A145" s="356"/>
      <c r="B145" s="357" t="s">
        <v>66</v>
      </c>
      <c r="C145" s="358"/>
      <c r="D145" s="358"/>
      <c r="E145" s="359"/>
      <c r="F145" s="416"/>
      <c r="G145" s="360"/>
      <c r="H145" s="361">
        <f>H146+H148</f>
        <v>1212417937.5</v>
      </c>
      <c r="I145" s="358"/>
    </row>
    <row r="146" spans="1:9" s="292" customFormat="1" ht="26.25" customHeight="1">
      <c r="A146" s="308"/>
      <c r="B146" s="321" t="s">
        <v>208</v>
      </c>
      <c r="C146" s="159"/>
      <c r="D146" s="402"/>
      <c r="E146" s="161"/>
      <c r="F146" s="165"/>
      <c r="G146" s="324"/>
      <c r="H146" s="324">
        <f>H147</f>
        <v>15000000</v>
      </c>
      <c r="I146" s="159">
        <v>2</v>
      </c>
    </row>
    <row r="147" spans="1:9" s="292" customFormat="1" ht="13.5" customHeight="1">
      <c r="A147" s="42" t="s">
        <v>270</v>
      </c>
      <c r="B147" s="42" t="s">
        <v>73</v>
      </c>
      <c r="C147" s="15">
        <v>1</v>
      </c>
      <c r="D147" s="384" t="s">
        <v>352</v>
      </c>
      <c r="E147" s="16">
        <v>1</v>
      </c>
      <c r="F147" s="33" t="s">
        <v>49</v>
      </c>
      <c r="G147" s="46">
        <f>H147/E147</f>
        <v>15000000</v>
      </c>
      <c r="H147" s="272">
        <v>15000000</v>
      </c>
      <c r="I147" s="15"/>
    </row>
    <row r="148" spans="1:9" s="292" customFormat="1" ht="28.5" customHeight="1">
      <c r="A148" s="308"/>
      <c r="B148" s="321" t="s">
        <v>54</v>
      </c>
      <c r="C148" s="159"/>
      <c r="D148" s="402"/>
      <c r="E148" s="161"/>
      <c r="F148" s="159"/>
      <c r="G148" s="324"/>
      <c r="H148" s="324">
        <v>1197417937.5</v>
      </c>
      <c r="I148" s="159"/>
    </row>
    <row r="149" spans="1:9" s="292" customFormat="1" ht="24" customHeight="1">
      <c r="A149" s="356"/>
      <c r="B149" s="357" t="s">
        <v>67</v>
      </c>
      <c r="C149" s="358"/>
      <c r="D149" s="358"/>
      <c r="E149" s="359"/>
      <c r="F149" s="416"/>
      <c r="G149" s="360"/>
      <c r="H149" s="361">
        <f>SUM(H150)</f>
        <v>20000000</v>
      </c>
      <c r="I149" s="358"/>
    </row>
    <row r="150" spans="1:9" s="292" customFormat="1" ht="12.75">
      <c r="A150" s="42" t="s">
        <v>249</v>
      </c>
      <c r="B150" s="35" t="s">
        <v>229</v>
      </c>
      <c r="C150" s="15">
        <v>6</v>
      </c>
      <c r="D150" s="384" t="s">
        <v>351</v>
      </c>
      <c r="E150" s="44">
        <v>12</v>
      </c>
      <c r="F150" s="15" t="s">
        <v>61</v>
      </c>
      <c r="G150" s="272">
        <f>H150/E150</f>
        <v>1666666.6666666667</v>
      </c>
      <c r="H150" s="272">
        <v>20000000</v>
      </c>
      <c r="I150" s="33">
        <v>3</v>
      </c>
    </row>
    <row r="151" spans="1:9" s="292" customFormat="1" ht="12.75">
      <c r="A151" s="356"/>
      <c r="B151" s="357" t="s">
        <v>68</v>
      </c>
      <c r="C151" s="358"/>
      <c r="D151" s="358"/>
      <c r="E151" s="359"/>
      <c r="F151" s="416"/>
      <c r="G151" s="360"/>
      <c r="H151" s="361">
        <f>+H152+H155+H173</f>
        <v>418363371</v>
      </c>
      <c r="I151" s="358"/>
    </row>
    <row r="152" spans="1:9" s="292" customFormat="1" ht="12.75">
      <c r="A152" s="308"/>
      <c r="B152" s="362" t="s">
        <v>214</v>
      </c>
      <c r="C152" s="159"/>
      <c r="D152" s="159"/>
      <c r="E152" s="161"/>
      <c r="F152" s="322"/>
      <c r="G152" s="326"/>
      <c r="H152" s="324">
        <f>SUM(H153:H154)</f>
        <v>196953776</v>
      </c>
      <c r="I152" s="159"/>
    </row>
    <row r="153" spans="1:9" s="292" customFormat="1" ht="25.5">
      <c r="A153" s="42" t="s">
        <v>256</v>
      </c>
      <c r="B153" s="35" t="s">
        <v>354</v>
      </c>
      <c r="C153" s="15">
        <v>3</v>
      </c>
      <c r="D153" s="386" t="s">
        <v>353</v>
      </c>
      <c r="E153" s="16">
        <v>1</v>
      </c>
      <c r="F153" s="16" t="s">
        <v>61</v>
      </c>
      <c r="G153" s="272">
        <f aca="true" t="shared" si="4" ref="G153:G172">H153/E153</f>
        <v>177991776</v>
      </c>
      <c r="H153" s="272">
        <v>177991776</v>
      </c>
      <c r="I153" s="15">
        <v>1</v>
      </c>
    </row>
    <row r="154" spans="1:9" s="35" customFormat="1" ht="16.5" customHeight="1">
      <c r="A154" s="35" t="s">
        <v>256</v>
      </c>
      <c r="B154" s="35" t="s">
        <v>234</v>
      </c>
      <c r="C154" s="33">
        <v>6</v>
      </c>
      <c r="D154" s="384" t="s">
        <v>353</v>
      </c>
      <c r="E154" s="33">
        <v>1</v>
      </c>
      <c r="F154" s="16" t="s">
        <v>61</v>
      </c>
      <c r="G154" s="272">
        <f t="shared" si="4"/>
        <v>18962000</v>
      </c>
      <c r="H154" s="419">
        <v>18962000</v>
      </c>
      <c r="I154" s="33">
        <v>4</v>
      </c>
    </row>
    <row r="155" spans="1:9" s="292" customFormat="1" ht="12.75">
      <c r="A155" s="308"/>
      <c r="B155" s="362" t="s">
        <v>215</v>
      </c>
      <c r="C155" s="159"/>
      <c r="D155" s="159"/>
      <c r="E155" s="343"/>
      <c r="F155" s="159"/>
      <c r="G155" s="326"/>
      <c r="H155" s="324">
        <f>SUM(H156:H172)</f>
        <v>211775695</v>
      </c>
      <c r="I155" s="159"/>
    </row>
    <row r="156" spans="1:9" ht="25.5">
      <c r="A156" s="363" t="s">
        <v>256</v>
      </c>
      <c r="B156" s="232" t="s">
        <v>356</v>
      </c>
      <c r="C156" s="266">
        <v>3</v>
      </c>
      <c r="D156" s="384" t="s">
        <v>355</v>
      </c>
      <c r="E156" s="233">
        <v>1</v>
      </c>
      <c r="F156" s="233" t="s">
        <v>102</v>
      </c>
      <c r="G156" s="305">
        <f t="shared" si="4"/>
        <v>90000000</v>
      </c>
      <c r="H156" s="305">
        <v>90000000</v>
      </c>
      <c r="I156" s="266">
        <v>6</v>
      </c>
    </row>
    <row r="157" spans="1:9" ht="38.25">
      <c r="A157" s="35" t="s">
        <v>256</v>
      </c>
      <c r="B157" s="35" t="s">
        <v>12</v>
      </c>
      <c r="C157" s="15">
        <v>3</v>
      </c>
      <c r="D157" s="386" t="s">
        <v>355</v>
      </c>
      <c r="E157" s="33">
        <v>1</v>
      </c>
      <c r="F157" s="33" t="s">
        <v>102</v>
      </c>
      <c r="G157" s="272">
        <f t="shared" si="4"/>
        <v>6480000</v>
      </c>
      <c r="H157" s="272">
        <v>6480000</v>
      </c>
      <c r="I157" s="15">
        <v>6</v>
      </c>
    </row>
    <row r="158" spans="1:9" ht="12.75">
      <c r="A158" s="35" t="s">
        <v>256</v>
      </c>
      <c r="B158" s="35" t="s">
        <v>357</v>
      </c>
      <c r="C158" s="15">
        <v>3</v>
      </c>
      <c r="D158" s="386" t="s">
        <v>355</v>
      </c>
      <c r="E158" s="33">
        <v>1</v>
      </c>
      <c r="F158" s="33" t="s">
        <v>102</v>
      </c>
      <c r="G158" s="272">
        <f t="shared" si="4"/>
        <v>4375000</v>
      </c>
      <c r="H158" s="420">
        <v>4375000</v>
      </c>
      <c r="I158" s="15">
        <v>10</v>
      </c>
    </row>
    <row r="159" spans="1:9" ht="12.75">
      <c r="A159" s="35" t="s">
        <v>256</v>
      </c>
      <c r="B159" s="35" t="s">
        <v>360</v>
      </c>
      <c r="C159" s="15">
        <v>3</v>
      </c>
      <c r="D159" s="386" t="s">
        <v>355</v>
      </c>
      <c r="E159" s="33">
        <v>1</v>
      </c>
      <c r="F159" s="33" t="s">
        <v>102</v>
      </c>
      <c r="G159" s="272">
        <f t="shared" si="4"/>
        <v>845000</v>
      </c>
      <c r="H159" s="420">
        <v>845000</v>
      </c>
      <c r="I159" s="15">
        <v>8</v>
      </c>
    </row>
    <row r="160" spans="1:9" ht="25.5">
      <c r="A160" s="35" t="s">
        <v>256</v>
      </c>
      <c r="B160" s="35" t="s">
        <v>361</v>
      </c>
      <c r="C160" s="15">
        <v>3</v>
      </c>
      <c r="D160" s="386" t="s">
        <v>355</v>
      </c>
      <c r="E160" s="33">
        <v>1</v>
      </c>
      <c r="F160" s="33" t="s">
        <v>102</v>
      </c>
      <c r="G160" s="272">
        <f t="shared" si="4"/>
        <v>5220000</v>
      </c>
      <c r="H160" s="420">
        <v>5220000</v>
      </c>
      <c r="I160" s="15">
        <v>7</v>
      </c>
    </row>
    <row r="161" spans="1:9" ht="25.5">
      <c r="A161" s="35" t="s">
        <v>256</v>
      </c>
      <c r="B161" s="35" t="s">
        <v>362</v>
      </c>
      <c r="C161" s="15">
        <v>3</v>
      </c>
      <c r="D161" s="386" t="s">
        <v>355</v>
      </c>
      <c r="E161" s="33">
        <v>1</v>
      </c>
      <c r="F161" s="33" t="s">
        <v>102</v>
      </c>
      <c r="G161" s="272">
        <f t="shared" si="4"/>
        <v>19314000</v>
      </c>
      <c r="H161" s="420">
        <v>19314000</v>
      </c>
      <c r="I161" s="15">
        <v>10</v>
      </c>
    </row>
    <row r="162" spans="1:9" ht="25.5">
      <c r="A162" s="35" t="s">
        <v>256</v>
      </c>
      <c r="B162" s="35" t="s">
        <v>358</v>
      </c>
      <c r="C162" s="15">
        <v>3</v>
      </c>
      <c r="D162" s="386" t="s">
        <v>355</v>
      </c>
      <c r="E162" s="33">
        <v>1</v>
      </c>
      <c r="F162" s="33" t="s">
        <v>102</v>
      </c>
      <c r="G162" s="272">
        <f t="shared" si="4"/>
        <v>1750000</v>
      </c>
      <c r="H162" s="420">
        <v>1750000</v>
      </c>
      <c r="I162" s="15">
        <v>9</v>
      </c>
    </row>
    <row r="163" spans="1:9" ht="38.25">
      <c r="A163" s="35" t="s">
        <v>256</v>
      </c>
      <c r="B163" s="35" t="s">
        <v>359</v>
      </c>
      <c r="C163" s="15">
        <v>3</v>
      </c>
      <c r="D163" s="386" t="s">
        <v>355</v>
      </c>
      <c r="E163" s="33">
        <v>1</v>
      </c>
      <c r="F163" s="33" t="s">
        <v>102</v>
      </c>
      <c r="G163" s="272">
        <f t="shared" si="4"/>
        <v>2445000</v>
      </c>
      <c r="H163" s="420">
        <v>2445000</v>
      </c>
      <c r="I163" s="15">
        <v>7</v>
      </c>
    </row>
    <row r="164" spans="1:9" ht="25.5">
      <c r="A164" s="35" t="s">
        <v>256</v>
      </c>
      <c r="B164" s="35" t="s">
        <v>363</v>
      </c>
      <c r="C164" s="15">
        <v>3</v>
      </c>
      <c r="D164" s="386" t="s">
        <v>355</v>
      </c>
      <c r="E164" s="33">
        <v>1</v>
      </c>
      <c r="F164" s="33" t="s">
        <v>102</v>
      </c>
      <c r="G164" s="272">
        <f t="shared" si="4"/>
        <v>7335000</v>
      </c>
      <c r="H164" s="420">
        <v>7335000</v>
      </c>
      <c r="I164" s="15">
        <v>6</v>
      </c>
    </row>
    <row r="165" spans="1:9" ht="25.5">
      <c r="A165" s="35" t="s">
        <v>256</v>
      </c>
      <c r="B165" s="35" t="s">
        <v>364</v>
      </c>
      <c r="C165" s="15">
        <v>3</v>
      </c>
      <c r="D165" s="386" t="s">
        <v>355</v>
      </c>
      <c r="E165" s="33">
        <v>1</v>
      </c>
      <c r="F165" s="33" t="s">
        <v>102</v>
      </c>
      <c r="G165" s="272">
        <f t="shared" si="4"/>
        <v>875000</v>
      </c>
      <c r="H165" s="420">
        <v>875000</v>
      </c>
      <c r="I165" s="15">
        <v>10</v>
      </c>
    </row>
    <row r="166" spans="1:9" ht="25.5">
      <c r="A166" s="35" t="s">
        <v>256</v>
      </c>
      <c r="B166" s="35" t="s">
        <v>371</v>
      </c>
      <c r="C166" s="15">
        <v>3</v>
      </c>
      <c r="D166" s="386" t="s">
        <v>355</v>
      </c>
      <c r="E166" s="33">
        <v>1</v>
      </c>
      <c r="F166" s="33" t="s">
        <v>102</v>
      </c>
      <c r="G166" s="272">
        <f t="shared" si="4"/>
        <v>1200000</v>
      </c>
      <c r="H166" s="420">
        <v>1200000</v>
      </c>
      <c r="I166" s="15">
        <v>6</v>
      </c>
    </row>
    <row r="167" spans="1:9" ht="25.5">
      <c r="A167" s="35" t="s">
        <v>256</v>
      </c>
      <c r="B167" s="35" t="s">
        <v>365</v>
      </c>
      <c r="C167" s="15">
        <v>3</v>
      </c>
      <c r="D167" s="386" t="s">
        <v>355</v>
      </c>
      <c r="E167" s="33">
        <v>1</v>
      </c>
      <c r="F167" s="33" t="s">
        <v>102</v>
      </c>
      <c r="G167" s="272">
        <f t="shared" si="4"/>
        <v>5640000</v>
      </c>
      <c r="H167" s="420">
        <v>5640000</v>
      </c>
      <c r="I167" s="15">
        <v>9</v>
      </c>
    </row>
    <row r="168" spans="1:9" ht="12.75">
      <c r="A168" s="35" t="s">
        <v>256</v>
      </c>
      <c r="B168" s="35" t="s">
        <v>366</v>
      </c>
      <c r="C168" s="15">
        <v>3</v>
      </c>
      <c r="D168" s="386" t="s">
        <v>355</v>
      </c>
      <c r="E168" s="33">
        <v>1</v>
      </c>
      <c r="F168" s="33" t="s">
        <v>102</v>
      </c>
      <c r="G168" s="272">
        <f t="shared" si="4"/>
        <v>2600000</v>
      </c>
      <c r="H168" s="420">
        <v>2600000</v>
      </c>
      <c r="I168" s="266">
        <v>4</v>
      </c>
    </row>
    <row r="169" spans="1:9" ht="38.25">
      <c r="A169" s="35" t="s">
        <v>256</v>
      </c>
      <c r="B169" s="35" t="s">
        <v>367</v>
      </c>
      <c r="C169" s="15">
        <v>3</v>
      </c>
      <c r="D169" s="386" t="s">
        <v>355</v>
      </c>
      <c r="E169" s="33">
        <v>1</v>
      </c>
      <c r="F169" s="33" t="s">
        <v>102</v>
      </c>
      <c r="G169" s="272">
        <f t="shared" si="4"/>
        <v>4872000</v>
      </c>
      <c r="H169" s="420">
        <v>4872000</v>
      </c>
      <c r="I169" s="15">
        <v>6</v>
      </c>
    </row>
    <row r="170" spans="1:9" ht="38.25">
      <c r="A170" s="35" t="s">
        <v>256</v>
      </c>
      <c r="B170" s="35" t="s">
        <v>368</v>
      </c>
      <c r="C170" s="15">
        <v>3</v>
      </c>
      <c r="D170" s="386" t="s">
        <v>355</v>
      </c>
      <c r="E170" s="33">
        <v>1</v>
      </c>
      <c r="F170" s="33" t="s">
        <v>102</v>
      </c>
      <c r="G170" s="272">
        <f t="shared" si="4"/>
        <v>11934695</v>
      </c>
      <c r="H170" s="420">
        <v>11934695</v>
      </c>
      <c r="I170" s="15">
        <v>7</v>
      </c>
    </row>
    <row r="171" spans="1:9" ht="12.75">
      <c r="A171" s="35" t="s">
        <v>256</v>
      </c>
      <c r="B171" s="35" t="s">
        <v>369</v>
      </c>
      <c r="C171" s="15">
        <v>3</v>
      </c>
      <c r="D171" s="386" t="s">
        <v>355</v>
      </c>
      <c r="E171" s="33">
        <v>1</v>
      </c>
      <c r="F171" s="33" t="s">
        <v>102</v>
      </c>
      <c r="G171" s="272">
        <f t="shared" si="4"/>
        <v>1890000</v>
      </c>
      <c r="H171" s="272">
        <v>1890000</v>
      </c>
      <c r="I171" s="15"/>
    </row>
    <row r="172" spans="1:9" ht="17.25" customHeight="1">
      <c r="A172" s="35" t="s">
        <v>256</v>
      </c>
      <c r="B172" s="35" t="s">
        <v>370</v>
      </c>
      <c r="C172" s="15">
        <v>3</v>
      </c>
      <c r="D172" s="386" t="s">
        <v>355</v>
      </c>
      <c r="E172" s="33">
        <v>1</v>
      </c>
      <c r="F172" s="33" t="s">
        <v>102</v>
      </c>
      <c r="G172" s="272">
        <f t="shared" si="4"/>
        <v>45000000</v>
      </c>
      <c r="H172" s="272">
        <v>45000000</v>
      </c>
      <c r="I172" s="15"/>
    </row>
    <row r="173" spans="1:9" s="292" customFormat="1" ht="12.75">
      <c r="A173" s="308"/>
      <c r="B173" s="362" t="s">
        <v>216</v>
      </c>
      <c r="C173" s="159"/>
      <c r="D173" s="159"/>
      <c r="E173" s="343"/>
      <c r="F173" s="159"/>
      <c r="G173" s="326"/>
      <c r="H173" s="324">
        <v>9633900</v>
      </c>
      <c r="I173" s="159"/>
    </row>
    <row r="174" spans="1:9" s="292" customFormat="1" ht="12.75">
      <c r="A174" s="328"/>
      <c r="B174" s="329" t="s">
        <v>69</v>
      </c>
      <c r="C174" s="354"/>
      <c r="D174" s="354"/>
      <c r="E174" s="365"/>
      <c r="F174" s="354"/>
      <c r="G174" s="353"/>
      <c r="H174" s="331">
        <f>SUM(H175:H176)</f>
        <v>1515073502</v>
      </c>
      <c r="I174" s="354"/>
    </row>
    <row r="175" spans="1:9" s="292" customFormat="1" ht="12.75">
      <c r="A175" s="308"/>
      <c r="B175" s="362" t="s">
        <v>217</v>
      </c>
      <c r="C175" s="159"/>
      <c r="D175" s="159" t="s">
        <v>372</v>
      </c>
      <c r="E175" s="343"/>
      <c r="F175" s="159"/>
      <c r="G175" s="326"/>
      <c r="H175" s="324">
        <v>179900000</v>
      </c>
      <c r="I175" s="159"/>
    </row>
    <row r="176" spans="1:9" s="292" customFormat="1" ht="33" customHeight="1">
      <c r="A176" s="308"/>
      <c r="B176" s="362" t="s">
        <v>69</v>
      </c>
      <c r="C176" s="159"/>
      <c r="D176" s="159"/>
      <c r="E176" s="161"/>
      <c r="F176" s="159"/>
      <c r="G176" s="326"/>
      <c r="H176" s="324">
        <f>H177</f>
        <v>1335173502</v>
      </c>
      <c r="I176" s="159"/>
    </row>
    <row r="177" spans="1:9" s="292" customFormat="1" ht="34.5" customHeight="1">
      <c r="A177" s="42" t="s">
        <v>252</v>
      </c>
      <c r="B177" s="35" t="s">
        <v>0</v>
      </c>
      <c r="C177" s="15">
        <v>3</v>
      </c>
      <c r="D177" s="386" t="s">
        <v>373</v>
      </c>
      <c r="E177" s="16">
        <v>1</v>
      </c>
      <c r="F177" s="15" t="s">
        <v>48</v>
      </c>
      <c r="G177" s="272">
        <f>H177/E177</f>
        <v>1335173502</v>
      </c>
      <c r="H177" s="272">
        <v>1335173502</v>
      </c>
      <c r="I177" s="15">
        <v>2</v>
      </c>
    </row>
    <row r="178" spans="1:9" s="292" customFormat="1" ht="20.25" customHeight="1">
      <c r="A178" s="280"/>
      <c r="B178" s="281" t="s">
        <v>225</v>
      </c>
      <c r="C178" s="366"/>
      <c r="D178" s="367"/>
      <c r="E178" s="367"/>
      <c r="F178" s="366"/>
      <c r="G178" s="368"/>
      <c r="H178" s="285">
        <f>H179+H204</f>
        <v>1852368066</v>
      </c>
      <c r="I178" s="366"/>
    </row>
    <row r="179" spans="1:9" s="292" customFormat="1" ht="12.75" customHeight="1">
      <c r="A179" s="328"/>
      <c r="B179" s="329" t="s">
        <v>161</v>
      </c>
      <c r="C179" s="354"/>
      <c r="D179" s="352"/>
      <c r="E179" s="352"/>
      <c r="F179" s="354"/>
      <c r="G179" s="353"/>
      <c r="H179" s="331">
        <f>+H180+H193+H198+H202</f>
        <v>1838768066</v>
      </c>
      <c r="I179" s="354"/>
    </row>
    <row r="180" spans="1:9" s="292" customFormat="1" ht="52.5" customHeight="1">
      <c r="A180" s="308"/>
      <c r="B180" s="342" t="s">
        <v>221</v>
      </c>
      <c r="C180" s="159"/>
      <c r="D180" s="159" t="s">
        <v>374</v>
      </c>
      <c r="E180" s="161"/>
      <c r="F180" s="159"/>
      <c r="G180" s="310"/>
      <c r="H180" s="369">
        <f>SUM(H181:H192)</f>
        <v>655440874</v>
      </c>
      <c r="I180" s="159"/>
    </row>
    <row r="181" spans="1:9" s="292" customFormat="1" ht="32.25" customHeight="1">
      <c r="A181" s="370" t="s">
        <v>252</v>
      </c>
      <c r="B181" s="264" t="s">
        <v>271</v>
      </c>
      <c r="C181" s="266">
        <v>3</v>
      </c>
      <c r="D181" s="266" t="s">
        <v>374</v>
      </c>
      <c r="E181" s="371"/>
      <c r="F181" s="266"/>
      <c r="G181" s="305"/>
      <c r="H181" s="372">
        <v>6491900</v>
      </c>
      <c r="I181" s="266">
        <v>7</v>
      </c>
    </row>
    <row r="182" spans="1:9" s="292" customFormat="1" ht="26.25" customHeight="1">
      <c r="A182" s="370" t="s">
        <v>252</v>
      </c>
      <c r="B182" s="264" t="s">
        <v>375</v>
      </c>
      <c r="C182" s="266">
        <v>3</v>
      </c>
      <c r="D182" s="266" t="s">
        <v>374</v>
      </c>
      <c r="E182" s="265">
        <v>4</v>
      </c>
      <c r="F182" s="265" t="s">
        <v>61</v>
      </c>
      <c r="G182" s="305">
        <f>H182/E182</f>
        <v>1837500</v>
      </c>
      <c r="H182" s="422">
        <v>7350000</v>
      </c>
      <c r="I182" s="237">
        <v>8</v>
      </c>
    </row>
    <row r="183" spans="1:9" s="292" customFormat="1" ht="26.25" customHeight="1">
      <c r="A183" s="370" t="s">
        <v>270</v>
      </c>
      <c r="B183" s="264" t="s">
        <v>376</v>
      </c>
      <c r="C183" s="266">
        <v>3</v>
      </c>
      <c r="D183" s="266" t="s">
        <v>374</v>
      </c>
      <c r="E183" s="265">
        <v>1</v>
      </c>
      <c r="F183" s="265" t="s">
        <v>48</v>
      </c>
      <c r="G183" s="305">
        <f aca="true" t="shared" si="5" ref="G183:G188">+H183/E183</f>
        <v>137280000</v>
      </c>
      <c r="H183" s="422">
        <v>137280000</v>
      </c>
      <c r="I183" s="237">
        <v>4</v>
      </c>
    </row>
    <row r="184" spans="1:9" s="292" customFormat="1" ht="39" customHeight="1">
      <c r="A184" s="370" t="s">
        <v>270</v>
      </c>
      <c r="B184" s="264" t="s">
        <v>377</v>
      </c>
      <c r="C184" s="266">
        <v>7</v>
      </c>
      <c r="D184" s="266" t="s">
        <v>374</v>
      </c>
      <c r="E184" s="265">
        <v>1</v>
      </c>
      <c r="F184" s="265" t="s">
        <v>48</v>
      </c>
      <c r="G184" s="305">
        <f t="shared" si="5"/>
        <v>54592593</v>
      </c>
      <c r="H184" s="423">
        <v>54592593</v>
      </c>
      <c r="I184" s="237">
        <v>7</v>
      </c>
    </row>
    <row r="185" spans="1:9" s="292" customFormat="1" ht="40.5" customHeight="1">
      <c r="A185" s="370" t="s">
        <v>270</v>
      </c>
      <c r="B185" s="32" t="s">
        <v>378</v>
      </c>
      <c r="C185" s="15">
        <v>3</v>
      </c>
      <c r="D185" s="266" t="s">
        <v>374</v>
      </c>
      <c r="E185" s="265">
        <v>1</v>
      </c>
      <c r="F185" s="265" t="s">
        <v>48</v>
      </c>
      <c r="G185" s="305">
        <f t="shared" si="5"/>
        <v>15000000</v>
      </c>
      <c r="H185" s="46">
        <v>15000000</v>
      </c>
      <c r="I185" s="15">
        <v>8</v>
      </c>
    </row>
    <row r="186" spans="1:9" s="292" customFormat="1" ht="40.5" customHeight="1">
      <c r="A186" s="370" t="s">
        <v>270</v>
      </c>
      <c r="B186" s="32" t="s">
        <v>384</v>
      </c>
      <c r="C186" s="15">
        <v>7</v>
      </c>
      <c r="D186" s="266" t="s">
        <v>374</v>
      </c>
      <c r="E186" s="265">
        <v>1</v>
      </c>
      <c r="F186" s="265" t="s">
        <v>48</v>
      </c>
      <c r="G186" s="305">
        <f t="shared" si="5"/>
        <v>129110528</v>
      </c>
      <c r="H186" s="424">
        <v>129110528</v>
      </c>
      <c r="I186" s="15">
        <v>9</v>
      </c>
    </row>
    <row r="187" spans="1:9" s="292" customFormat="1" ht="40.5" customHeight="1">
      <c r="A187" s="370" t="s">
        <v>290</v>
      </c>
      <c r="B187" s="32" t="s">
        <v>385</v>
      </c>
      <c r="C187" s="15">
        <v>7</v>
      </c>
      <c r="D187" s="266" t="s">
        <v>374</v>
      </c>
      <c r="E187" s="265">
        <v>1</v>
      </c>
      <c r="F187" s="265" t="s">
        <v>48</v>
      </c>
      <c r="G187" s="305">
        <f t="shared" si="5"/>
        <v>32000000</v>
      </c>
      <c r="H187" s="46">
        <v>32000000</v>
      </c>
      <c r="I187" s="15">
        <v>7</v>
      </c>
    </row>
    <row r="188" spans="1:9" s="292" customFormat="1" ht="40.5" customHeight="1">
      <c r="A188" s="370" t="s">
        <v>381</v>
      </c>
      <c r="B188" s="32" t="s">
        <v>386</v>
      </c>
      <c r="C188" s="15">
        <v>7</v>
      </c>
      <c r="D188" s="266" t="s">
        <v>374</v>
      </c>
      <c r="E188" s="265">
        <v>1</v>
      </c>
      <c r="F188" s="265" t="s">
        <v>48</v>
      </c>
      <c r="G188" s="305">
        <f t="shared" si="5"/>
        <v>44105104</v>
      </c>
      <c r="H188" s="46">
        <v>44105104</v>
      </c>
      <c r="I188" s="15">
        <v>9</v>
      </c>
    </row>
    <row r="189" spans="1:9" s="292" customFormat="1" ht="43.5" customHeight="1">
      <c r="A189" s="42" t="s">
        <v>276</v>
      </c>
      <c r="B189" s="65" t="s">
        <v>379</v>
      </c>
      <c r="C189" s="15">
        <v>3</v>
      </c>
      <c r="D189" s="266" t="s">
        <v>374</v>
      </c>
      <c r="E189" s="265">
        <v>1</v>
      </c>
      <c r="F189" s="265" t="s">
        <v>48</v>
      </c>
      <c r="G189" s="272">
        <f>H189/E189</f>
        <v>71200800</v>
      </c>
      <c r="H189" s="46">
        <v>71200800</v>
      </c>
      <c r="I189" s="15">
        <v>9</v>
      </c>
    </row>
    <row r="190" spans="1:10" s="292" customFormat="1" ht="25.5">
      <c r="A190" s="42" t="s">
        <v>381</v>
      </c>
      <c r="B190" s="32" t="s">
        <v>380</v>
      </c>
      <c r="C190" s="15">
        <v>3</v>
      </c>
      <c r="D190" s="266" t="s">
        <v>374</v>
      </c>
      <c r="E190" s="265">
        <v>1</v>
      </c>
      <c r="F190" s="265" t="s">
        <v>48</v>
      </c>
      <c r="G190" s="272">
        <f>H190/E190</f>
        <v>101221658</v>
      </c>
      <c r="H190" s="46">
        <v>101221658</v>
      </c>
      <c r="I190" s="15">
        <v>3</v>
      </c>
      <c r="J190" s="411"/>
    </row>
    <row r="191" spans="1:9" s="292" customFormat="1" ht="40.5" customHeight="1">
      <c r="A191" s="42" t="s">
        <v>252</v>
      </c>
      <c r="B191" s="65" t="s">
        <v>383</v>
      </c>
      <c r="C191" s="15">
        <v>3</v>
      </c>
      <c r="D191" s="266" t="s">
        <v>374</v>
      </c>
      <c r="E191" s="64">
        <v>1</v>
      </c>
      <c r="F191" s="15" t="s">
        <v>48</v>
      </c>
      <c r="G191" s="272">
        <f>H191/E191</f>
        <v>42992811</v>
      </c>
      <c r="H191" s="46">
        <v>42992811</v>
      </c>
      <c r="I191" s="15">
        <v>10</v>
      </c>
    </row>
    <row r="192" spans="1:9" s="292" customFormat="1" ht="38.25">
      <c r="A192" s="42" t="s">
        <v>382</v>
      </c>
      <c r="B192" s="32" t="s">
        <v>387</v>
      </c>
      <c r="C192" s="15">
        <v>3</v>
      </c>
      <c r="D192" s="266" t="s">
        <v>374</v>
      </c>
      <c r="E192" s="64">
        <v>1</v>
      </c>
      <c r="F192" s="15" t="s">
        <v>48</v>
      </c>
      <c r="G192" s="272">
        <f>H192/E192</f>
        <v>14095480</v>
      </c>
      <c r="H192" s="46">
        <f>11400480+2695000</f>
        <v>14095480</v>
      </c>
      <c r="I192" s="15"/>
    </row>
    <row r="193" spans="1:9" s="292" customFormat="1" ht="56.25" customHeight="1">
      <c r="A193" s="373"/>
      <c r="B193" s="374" t="s">
        <v>222</v>
      </c>
      <c r="C193" s="375"/>
      <c r="D193" s="376"/>
      <c r="E193" s="376"/>
      <c r="F193" s="375"/>
      <c r="G193" s="377"/>
      <c r="H193" s="409">
        <f>SUM(H194:H197)</f>
        <v>231239490</v>
      </c>
      <c r="I193" s="378"/>
    </row>
    <row r="194" spans="1:9" s="292" customFormat="1" ht="38.25" customHeight="1">
      <c r="A194" s="42" t="s">
        <v>247</v>
      </c>
      <c r="B194" s="35" t="s">
        <v>388</v>
      </c>
      <c r="C194" s="15">
        <v>7</v>
      </c>
      <c r="D194" s="266" t="s">
        <v>389</v>
      </c>
      <c r="E194" s="16">
        <v>1</v>
      </c>
      <c r="F194" s="15" t="s">
        <v>70</v>
      </c>
      <c r="G194" s="272">
        <f>+H194/E194</f>
        <v>41500000</v>
      </c>
      <c r="H194" s="425">
        <v>41500000</v>
      </c>
      <c r="I194" s="33">
        <v>7</v>
      </c>
    </row>
    <row r="195" spans="1:9" s="292" customFormat="1" ht="38.25" customHeight="1">
      <c r="A195" s="42" t="s">
        <v>247</v>
      </c>
      <c r="B195" s="35" t="s">
        <v>325</v>
      </c>
      <c r="C195" s="15">
        <v>7</v>
      </c>
      <c r="D195" s="266" t="s">
        <v>389</v>
      </c>
      <c r="E195" s="16">
        <v>1</v>
      </c>
      <c r="F195" s="15" t="s">
        <v>49</v>
      </c>
      <c r="G195" s="272">
        <f>+H195/E195</f>
        <v>85009990</v>
      </c>
      <c r="H195" s="425">
        <v>85009990</v>
      </c>
      <c r="I195" s="33">
        <v>7</v>
      </c>
    </row>
    <row r="196" spans="1:9" s="292" customFormat="1" ht="38.25" customHeight="1">
      <c r="A196" s="42" t="s">
        <v>249</v>
      </c>
      <c r="B196" s="35" t="s">
        <v>390</v>
      </c>
      <c r="C196" s="15">
        <v>3</v>
      </c>
      <c r="D196" s="266" t="s">
        <v>389</v>
      </c>
      <c r="E196" s="16">
        <v>3</v>
      </c>
      <c r="F196" s="15" t="s">
        <v>61</v>
      </c>
      <c r="G196" s="272">
        <f>+H196/E196</f>
        <v>4910666.666666667</v>
      </c>
      <c r="H196" s="272">
        <v>14732000</v>
      </c>
      <c r="I196" s="33">
        <v>8</v>
      </c>
    </row>
    <row r="197" spans="1:9" s="292" customFormat="1" ht="38.25" customHeight="1">
      <c r="A197" s="42" t="s">
        <v>249</v>
      </c>
      <c r="B197" s="35" t="s">
        <v>391</v>
      </c>
      <c r="C197" s="15">
        <v>7</v>
      </c>
      <c r="D197" s="266" t="s">
        <v>389</v>
      </c>
      <c r="E197" s="16">
        <v>3</v>
      </c>
      <c r="F197" s="15" t="s">
        <v>61</v>
      </c>
      <c r="G197" s="272">
        <f>+H197/E197</f>
        <v>29999166.666666668</v>
      </c>
      <c r="H197" s="272">
        <v>89997500</v>
      </c>
      <c r="I197" s="33">
        <v>8</v>
      </c>
    </row>
    <row r="198" spans="1:9" s="292" customFormat="1" ht="25.5">
      <c r="A198" s="308"/>
      <c r="B198" s="342" t="s">
        <v>223</v>
      </c>
      <c r="C198" s="159"/>
      <c r="D198" s="161"/>
      <c r="E198" s="161"/>
      <c r="F198" s="159"/>
      <c r="G198" s="310">
        <v>3650000</v>
      </c>
      <c r="H198" s="369">
        <f>SUM(H199:H201)</f>
        <v>215026089</v>
      </c>
      <c r="I198" s="159"/>
    </row>
    <row r="199" spans="1:9" s="292" customFormat="1" ht="12.75">
      <c r="A199" s="42" t="s">
        <v>247</v>
      </c>
      <c r="B199" s="36" t="s">
        <v>392</v>
      </c>
      <c r="C199" s="15">
        <v>7</v>
      </c>
      <c r="D199" s="266" t="s">
        <v>393</v>
      </c>
      <c r="E199" s="67">
        <v>1</v>
      </c>
      <c r="F199" s="15" t="s">
        <v>49</v>
      </c>
      <c r="G199" s="272">
        <f>+H199/E199</f>
        <v>95000000</v>
      </c>
      <c r="H199" s="66">
        <v>95000000</v>
      </c>
      <c r="I199" s="16">
        <v>8</v>
      </c>
    </row>
    <row r="200" spans="1:9" s="292" customFormat="1" ht="25.5">
      <c r="A200" s="42" t="s">
        <v>252</v>
      </c>
      <c r="B200" s="36" t="s">
        <v>394</v>
      </c>
      <c r="C200" s="15">
        <v>3</v>
      </c>
      <c r="D200" s="266" t="s">
        <v>393</v>
      </c>
      <c r="E200" s="67">
        <v>1</v>
      </c>
      <c r="F200" s="15" t="s">
        <v>48</v>
      </c>
      <c r="G200" s="272">
        <f>+H200/E200</f>
        <v>24026089</v>
      </c>
      <c r="H200" s="66">
        <v>24026089</v>
      </c>
      <c r="I200" s="16">
        <v>7</v>
      </c>
    </row>
    <row r="201" spans="1:9" s="292" customFormat="1" ht="25.5">
      <c r="A201" s="42" t="s">
        <v>252</v>
      </c>
      <c r="B201" s="36" t="s">
        <v>395</v>
      </c>
      <c r="C201" s="15">
        <v>3</v>
      </c>
      <c r="D201" s="266" t="s">
        <v>393</v>
      </c>
      <c r="E201" s="67">
        <v>1</v>
      </c>
      <c r="F201" s="15" t="s">
        <v>48</v>
      </c>
      <c r="G201" s="272">
        <f>+H201/E201</f>
        <v>96000000</v>
      </c>
      <c r="H201" s="66">
        <v>96000000</v>
      </c>
      <c r="I201" s="16">
        <v>7</v>
      </c>
    </row>
    <row r="202" spans="1:9" s="292" customFormat="1" ht="38.25">
      <c r="A202" s="308"/>
      <c r="B202" s="342" t="s">
        <v>224</v>
      </c>
      <c r="C202" s="159"/>
      <c r="D202" s="161"/>
      <c r="E202" s="161"/>
      <c r="F202" s="159"/>
      <c r="G202" s="310"/>
      <c r="H202" s="311">
        <f>SUM(H203:H203)</f>
        <v>737061613</v>
      </c>
      <c r="I202" s="159"/>
    </row>
    <row r="203" spans="1:9" s="292" customFormat="1" ht="12.75">
      <c r="A203" s="42"/>
      <c r="B203" s="32" t="s">
        <v>1</v>
      </c>
      <c r="C203" s="15">
        <v>3</v>
      </c>
      <c r="D203" s="266" t="s">
        <v>396</v>
      </c>
      <c r="E203" s="64">
        <v>1</v>
      </c>
      <c r="F203" s="15" t="s">
        <v>48</v>
      </c>
      <c r="G203" s="272">
        <f>H203/E203</f>
        <v>737061613</v>
      </c>
      <c r="H203" s="66">
        <v>737061613</v>
      </c>
      <c r="I203" s="74">
        <v>3</v>
      </c>
    </row>
    <row r="204" spans="1:9" s="318" customFormat="1" ht="27" customHeight="1">
      <c r="A204" s="379"/>
      <c r="B204" s="380" t="s">
        <v>162</v>
      </c>
      <c r="C204" s="332"/>
      <c r="D204" s="330"/>
      <c r="E204" s="330"/>
      <c r="F204" s="332"/>
      <c r="G204" s="331"/>
      <c r="H204" s="331">
        <f>SUM(H205)</f>
        <v>13600000</v>
      </c>
      <c r="I204" s="350"/>
    </row>
    <row r="205" spans="1:9" s="292" customFormat="1" ht="58.5" customHeight="1">
      <c r="A205" s="308"/>
      <c r="B205" s="342" t="s">
        <v>221</v>
      </c>
      <c r="C205" s="159">
        <v>3</v>
      </c>
      <c r="D205" s="161"/>
      <c r="E205" s="161"/>
      <c r="F205" s="159"/>
      <c r="G205" s="310"/>
      <c r="H205" s="310">
        <f>SUM(H206:H206)</f>
        <v>13600000</v>
      </c>
      <c r="I205" s="165"/>
    </row>
    <row r="206" spans="1:9" ht="34.5" customHeight="1">
      <c r="A206" s="363" t="s">
        <v>252</v>
      </c>
      <c r="B206" s="232" t="s">
        <v>397</v>
      </c>
      <c r="C206" s="233">
        <v>3</v>
      </c>
      <c r="D206" s="386" t="s">
        <v>398</v>
      </c>
      <c r="E206" s="233">
        <v>1</v>
      </c>
      <c r="F206" s="266" t="s">
        <v>48</v>
      </c>
      <c r="G206" s="272">
        <f>H206/E206</f>
        <v>13600000</v>
      </c>
      <c r="H206" s="236">
        <v>13600000</v>
      </c>
      <c r="I206" s="237">
        <v>11</v>
      </c>
    </row>
  </sheetData>
  <sheetProtection formatCells="0" formatColumns="0" formatRows="0" sort="0" autoFilter="0"/>
  <mergeCells count="14">
    <mergeCell ref="G14:G15"/>
    <mergeCell ref="H14:H15"/>
    <mergeCell ref="I14:I15"/>
    <mergeCell ref="B1:I1"/>
    <mergeCell ref="B2:I2"/>
    <mergeCell ref="B3:I3"/>
    <mergeCell ref="B7:I7"/>
    <mergeCell ref="B13:I13"/>
    <mergeCell ref="A14:A15"/>
    <mergeCell ref="B14:B15"/>
    <mergeCell ref="C14:C15"/>
    <mergeCell ref="D14:D15"/>
    <mergeCell ref="E14:E15"/>
    <mergeCell ref="F14:F15"/>
  </mergeCells>
  <dataValidations count="1">
    <dataValidation allowBlank="1" showErrorMessage="1" sqref="H182:H192 G24 H203"/>
  </dataValidations>
  <printOptions horizontalCentered="1" verticalCentered="1"/>
  <pageMargins left="0.1968503937007874" right="0" top="0.1968503937007874" bottom="0.5905511811023623" header="0" footer="0.1968503937007874"/>
  <pageSetup horizontalDpi="300" verticalDpi="300" orientation="landscape" paperSize="123" scale="65"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dc:creator>
  <cp:keywords/>
  <dc:description/>
  <cp:lastModifiedBy>Jennifer</cp:lastModifiedBy>
  <cp:lastPrinted>2012-10-22T20:56:32Z</cp:lastPrinted>
  <dcterms:created xsi:type="dcterms:W3CDTF">2007-07-03T23:27:55Z</dcterms:created>
  <dcterms:modified xsi:type="dcterms:W3CDTF">2013-09-03T15:05:43Z</dcterms:modified>
  <cp:category/>
  <cp:version/>
  <cp:contentType/>
  <cp:contentStatus/>
</cp:coreProperties>
</file>